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stantin.pop\Desktop\LUMEA PITICILOR\"/>
    </mc:Choice>
  </mc:AlternateContent>
  <bookViews>
    <workbookView xWindow="480" yWindow="75" windowWidth="20730" windowHeight="11760" tabRatio="998" firstSheet="9" activeTab="14"/>
  </bookViews>
  <sheets>
    <sheet name="Dotari" sheetId="8" r:id="rId1"/>
    <sheet name="Utilaje, echipamente cu montaj" sheetId="9" r:id="rId2"/>
    <sheet name="LE-structura corp nou" sheetId="11" r:id="rId3"/>
    <sheet name="LE-arh corp nou" sheetId="12" r:id="rId4"/>
    <sheet name="LE-reabilitare structura" sheetId="13" r:id="rId5"/>
    <sheet name="LE-reabilitare arh" sheetId="14" r:id="rId6"/>
    <sheet name="LE-inst interioare corp nou" sheetId="15" r:id="rId7"/>
    <sheet name="LE-inst int reabilitare" sheetId="16" r:id="rId8"/>
    <sheet name="LE-RET EXT" sheetId="17" r:id="rId9"/>
    <sheet name="TJ+TS" sheetId="18" r:id="rId10"/>
    <sheet name="SIST VERT" sheetId="19" r:id="rId11"/>
    <sheet name="PLATF. BET" sheetId="20" r:id="rId12"/>
    <sheet name="BRANSAMENTE" sheetId="21" r:id="rId13"/>
    <sheet name="montaj uti" sheetId="31" r:id="rId14"/>
    <sheet name="DG cu surse de finantare" sheetId="46" r:id="rId15"/>
    <sheet name="DG1" sheetId="36" r:id="rId16"/>
    <sheet name="D09F " sheetId="45" r:id="rId17"/>
    <sheet name="D08F " sheetId="44" r:id="rId18"/>
    <sheet name="D07F  " sheetId="43" r:id="rId19"/>
    <sheet name="D06F  " sheetId="42" r:id="rId20"/>
    <sheet name="D05F " sheetId="41" r:id="rId21"/>
    <sheet name="D04F" sheetId="40" r:id="rId22"/>
    <sheet name="D03F" sheetId="39" r:id="rId23"/>
    <sheet name="D02F " sheetId="38" r:id="rId24"/>
    <sheet name="D01F" sheetId="37" r:id="rId25"/>
  </sheets>
  <definedNames>
    <definedName name="_xlnm.Print_Area" localSheetId="12">BRANSAMENTE!$A$1:$F$73</definedName>
    <definedName name="_xlnm.Print_Area" localSheetId="24">D01F!$A$1:$E$37</definedName>
    <definedName name="_xlnm.Print_Area" localSheetId="23">'D02F '!$A$1:$E$29</definedName>
    <definedName name="_xlnm.Print_Area" localSheetId="22">D03F!$A$1:$E$33</definedName>
    <definedName name="_xlnm.Print_Area" localSheetId="21">D04F!$A$1:$E$29</definedName>
    <definedName name="_xlnm.Print_Area" localSheetId="20">'D05F '!$A$1:$E$29</definedName>
    <definedName name="_xlnm.Print_Area" localSheetId="19">'D06F  '!$A$1:$E$29</definedName>
    <definedName name="_xlnm.Print_Area" localSheetId="18">'D07F  '!$A$1:$E$31</definedName>
    <definedName name="_xlnm.Print_Area" localSheetId="17">'D08F '!$A$1:$E$32</definedName>
    <definedName name="_xlnm.Print_Area" localSheetId="16">'D09F '!$A$1:$E$32</definedName>
    <definedName name="_xlnm.Print_Area" localSheetId="15">'DG1'!$A$1:$E$95</definedName>
    <definedName name="_xlnm.Print_Area" localSheetId="0">Dotari!$A$1:$G$85</definedName>
    <definedName name="_xlnm.Print_Area" localSheetId="3">'LE-arh corp nou'!$A$1:$F$99</definedName>
    <definedName name="_xlnm.Print_Area" localSheetId="7">'LE-inst int reabilitare'!$A$1:$F$35</definedName>
    <definedName name="_xlnm.Print_Area" localSheetId="6">'LE-inst interioare corp nou'!$A$1:$G$29</definedName>
    <definedName name="_xlnm.Print_Area" localSheetId="5">'LE-reabilitare arh'!$A$1:$F$115</definedName>
    <definedName name="_xlnm.Print_Area" localSheetId="4">'LE-reabilitare structura'!$A$1:$F$66</definedName>
    <definedName name="_xlnm.Print_Area" localSheetId="8">'LE-RET EXT'!$A$1:$F$46</definedName>
    <definedName name="_xlnm.Print_Area" localSheetId="2">'LE-structura corp nou'!$A$1:$F$58</definedName>
    <definedName name="_xlnm.Print_Area" localSheetId="13">'montaj uti'!$A$1:$F$25</definedName>
    <definedName name="_xlnm.Print_Area" localSheetId="11">'PLATF. BET'!$A$1:$G$48</definedName>
    <definedName name="_xlnm.Print_Area" localSheetId="10">'SIST VERT'!$A$2:$F$32</definedName>
    <definedName name="_xlnm.Print_Area" localSheetId="9">'TJ+TS'!$A$1:$G$41</definedName>
    <definedName name="_xlnm.Print_Area" localSheetId="1">'Utilaje, echipamente cu montaj'!$A$1:$G$27</definedName>
  </definedNames>
  <calcPr calcId="152511"/>
</workbook>
</file>

<file path=xl/calcChain.xml><?xml version="1.0" encoding="utf-8"?>
<calcChain xmlns="http://schemas.openxmlformats.org/spreadsheetml/2006/main">
  <c r="C70" i="46" l="1"/>
  <c r="C56" i="46"/>
  <c r="C27" i="46"/>
  <c r="G64" i="46" l="1"/>
  <c r="G66" i="46"/>
  <c r="F21" i="46"/>
  <c r="G53" i="46" l="1"/>
  <c r="E86" i="46" l="1"/>
  <c r="D86" i="46"/>
  <c r="C86" i="46"/>
  <c r="D80" i="46"/>
  <c r="E80" i="46" s="1"/>
  <c r="D78" i="46"/>
  <c r="E78" i="46" s="1"/>
  <c r="D71" i="46"/>
  <c r="E71" i="46" s="1"/>
  <c r="G71" i="46" s="1"/>
  <c r="D63" i="46"/>
  <c r="E63" i="46" s="1"/>
  <c r="G63" i="46" s="1"/>
  <c r="D62" i="46"/>
  <c r="E62" i="46" s="1"/>
  <c r="G62" i="46" s="1"/>
  <c r="D52" i="46"/>
  <c r="E52" i="46" s="1"/>
  <c r="D49" i="46"/>
  <c r="E49" i="46" s="1"/>
  <c r="E48" i="46" s="1"/>
  <c r="C48" i="46"/>
  <c r="D46" i="46"/>
  <c r="C45" i="46"/>
  <c r="D44" i="46"/>
  <c r="E44" i="46" s="1"/>
  <c r="D43" i="46"/>
  <c r="E43" i="46" s="1"/>
  <c r="D42" i="46"/>
  <c r="E42" i="46" s="1"/>
  <c r="D41" i="46"/>
  <c r="E41" i="46" s="1"/>
  <c r="D39" i="46"/>
  <c r="E39" i="46" s="1"/>
  <c r="E37" i="46" s="1"/>
  <c r="C37" i="46"/>
  <c r="D36" i="46"/>
  <c r="E36" i="46" s="1"/>
  <c r="D35" i="46"/>
  <c r="E35" i="46" s="1"/>
  <c r="D34" i="46"/>
  <c r="E34" i="46" s="1"/>
  <c r="D31" i="46"/>
  <c r="E31" i="46" s="1"/>
  <c r="E30" i="46" s="1"/>
  <c r="D30" i="46"/>
  <c r="C30" i="46"/>
  <c r="C53" i="46" s="1"/>
  <c r="D26" i="46"/>
  <c r="D20" i="46"/>
  <c r="E20" i="46" s="1"/>
  <c r="F20" i="46" s="1"/>
  <c r="D19" i="46"/>
  <c r="D17" i="46"/>
  <c r="E17" i="46" s="1"/>
  <c r="F17" i="46" s="1"/>
  <c r="D45" i="46" l="1"/>
  <c r="E46" i="46"/>
  <c r="E45" i="46" s="1"/>
  <c r="E53" i="46" s="1"/>
  <c r="E19" i="46"/>
  <c r="F19" i="46" s="1"/>
  <c r="D16" i="46"/>
  <c r="C88" i="46"/>
  <c r="D18" i="46"/>
  <c r="D25" i="46"/>
  <c r="D27" i="46" s="1"/>
  <c r="D37" i="46"/>
  <c r="D53" i="46" s="1"/>
  <c r="D48" i="46"/>
  <c r="E25" i="46"/>
  <c r="G25" i="46" s="1"/>
  <c r="E26" i="46"/>
  <c r="G26" i="46" s="1"/>
  <c r="C22" i="46"/>
  <c r="D57" i="46"/>
  <c r="D58" i="46"/>
  <c r="E58" i="46" s="1"/>
  <c r="G58" i="46" s="1"/>
  <c r="D59" i="46"/>
  <c r="E59" i="46" s="1"/>
  <c r="G59" i="46" s="1"/>
  <c r="D60" i="46"/>
  <c r="E60" i="46" s="1"/>
  <c r="G60" i="46" s="1"/>
  <c r="D61" i="46"/>
  <c r="E61" i="46" s="1"/>
  <c r="G61" i="46" s="1"/>
  <c r="D80" i="36"/>
  <c r="E80" i="36" s="1"/>
  <c r="C45" i="36"/>
  <c r="C27" i="45"/>
  <c r="H27" i="45" s="1"/>
  <c r="D26" i="45"/>
  <c r="E26" i="45" s="1"/>
  <c r="D25" i="45"/>
  <c r="E25" i="45" s="1"/>
  <c r="D24" i="45"/>
  <c r="E24" i="45" s="1"/>
  <c r="D23" i="45"/>
  <c r="C22" i="45"/>
  <c r="H22" i="45" s="1"/>
  <c r="D21" i="45"/>
  <c r="E21" i="45" s="1"/>
  <c r="E22" i="45" s="1"/>
  <c r="C27" i="44"/>
  <c r="H27" i="44" s="1"/>
  <c r="D26" i="44"/>
  <c r="E26" i="44" s="1"/>
  <c r="D25" i="44"/>
  <c r="E25" i="44" s="1"/>
  <c r="D24" i="44"/>
  <c r="D23" i="44"/>
  <c r="E23" i="44" s="1"/>
  <c r="C22" i="44"/>
  <c r="H22" i="44" s="1"/>
  <c r="D21" i="44"/>
  <c r="D22" i="44" s="1"/>
  <c r="D22" i="43"/>
  <c r="E22" i="43" s="1"/>
  <c r="D21" i="43"/>
  <c r="E21" i="43" s="1"/>
  <c r="C23" i="43"/>
  <c r="H23" i="43" s="1"/>
  <c r="D20" i="43"/>
  <c r="E20" i="43" s="1"/>
  <c r="D19" i="43"/>
  <c r="E19" i="43" s="1"/>
  <c r="C18" i="43"/>
  <c r="H18" i="43" s="1"/>
  <c r="D17" i="43"/>
  <c r="D18" i="43" s="1"/>
  <c r="D23" i="42"/>
  <c r="E23" i="42" s="1"/>
  <c r="D21" i="42"/>
  <c r="E21" i="42" s="1"/>
  <c r="D20" i="42"/>
  <c r="E20" i="42" s="1"/>
  <c r="C19" i="42"/>
  <c r="H19" i="42" s="1"/>
  <c r="D18" i="42"/>
  <c r="E18" i="42" s="1"/>
  <c r="E19" i="42" s="1"/>
  <c r="E10" i="19"/>
  <c r="C24" i="41"/>
  <c r="H24" i="41" s="1"/>
  <c r="D23" i="41"/>
  <c r="E23" i="41" s="1"/>
  <c r="D22" i="41"/>
  <c r="E22" i="41" s="1"/>
  <c r="D21" i="41"/>
  <c r="E21" i="41" s="1"/>
  <c r="D20" i="41"/>
  <c r="C19" i="41"/>
  <c r="H19" i="41" s="1"/>
  <c r="D18" i="41"/>
  <c r="E18" i="41" s="1"/>
  <c r="E19" i="41" s="1"/>
  <c r="E11" i="31"/>
  <c r="E21" i="31"/>
  <c r="D23" i="40"/>
  <c r="E23" i="40" s="1"/>
  <c r="C24" i="40"/>
  <c r="H24" i="40" s="1"/>
  <c r="D21" i="40"/>
  <c r="D20" i="40"/>
  <c r="E20" i="40" s="1"/>
  <c r="C19" i="40"/>
  <c r="H19" i="40" s="1"/>
  <c r="D18" i="40"/>
  <c r="D19" i="40" s="1"/>
  <c r="D23" i="39"/>
  <c r="E23" i="39" s="1"/>
  <c r="D21" i="39"/>
  <c r="E21" i="39" s="1"/>
  <c r="D20" i="39"/>
  <c r="E20" i="39" s="1"/>
  <c r="C19" i="39"/>
  <c r="H19" i="39" s="1"/>
  <c r="D18" i="39"/>
  <c r="E18" i="39" s="1"/>
  <c r="E19" i="39" s="1"/>
  <c r="F44" i="20"/>
  <c r="G44" i="20" s="1"/>
  <c r="F43" i="20"/>
  <c r="G43" i="20" s="1"/>
  <c r="F42" i="20"/>
  <c r="G42" i="20" s="1"/>
  <c r="E38" i="18"/>
  <c r="F38" i="18" s="1"/>
  <c r="G38" i="18" s="1"/>
  <c r="E15" i="9"/>
  <c r="E21" i="9"/>
  <c r="E12" i="9"/>
  <c r="E17" i="9"/>
  <c r="E19" i="9"/>
  <c r="E10" i="9"/>
  <c r="D24" i="41" l="1"/>
  <c r="D27" i="45"/>
  <c r="E57" i="46"/>
  <c r="G57" i="46" s="1"/>
  <c r="D22" i="46"/>
  <c r="C77" i="46"/>
  <c r="D77" i="46" s="1"/>
  <c r="C75" i="46"/>
  <c r="D75" i="46" s="1"/>
  <c r="E18" i="46"/>
  <c r="E27" i="46"/>
  <c r="G27" i="46" s="1"/>
  <c r="D79" i="46"/>
  <c r="E79" i="46" s="1"/>
  <c r="G79" i="46" s="1"/>
  <c r="G81" i="46" s="1"/>
  <c r="D70" i="46"/>
  <c r="E70" i="46" s="1"/>
  <c r="E81" i="46" s="1"/>
  <c r="D56" i="46"/>
  <c r="F45" i="20"/>
  <c r="C22" i="42" s="1"/>
  <c r="E20" i="41"/>
  <c r="E24" i="41" s="1"/>
  <c r="E17" i="43"/>
  <c r="E18" i="43" s="1"/>
  <c r="E21" i="44"/>
  <c r="E22" i="44" s="1"/>
  <c r="E23" i="45"/>
  <c r="D19" i="39"/>
  <c r="D27" i="44"/>
  <c r="D19" i="41"/>
  <c r="D19" i="42"/>
  <c r="E24" i="44"/>
  <c r="E27" i="44" s="1"/>
  <c r="D22" i="45"/>
  <c r="F39" i="18"/>
  <c r="C22" i="39" s="1"/>
  <c r="E27" i="45"/>
  <c r="E23" i="43"/>
  <c r="D23" i="43"/>
  <c r="E18" i="40"/>
  <c r="E19" i="40" s="1"/>
  <c r="E21" i="40"/>
  <c r="D22" i="40"/>
  <c r="E22" i="40" s="1"/>
  <c r="G45" i="20"/>
  <c r="E16" i="46" l="1"/>
  <c r="F18" i="46"/>
  <c r="E56" i="46"/>
  <c r="E77" i="46"/>
  <c r="F77" i="46" s="1"/>
  <c r="C73" i="46"/>
  <c r="C81" i="46" s="1"/>
  <c r="D73" i="46"/>
  <c r="D81" i="46" s="1"/>
  <c r="E88" i="46"/>
  <c r="E75" i="46"/>
  <c r="D88" i="46"/>
  <c r="D72" i="46"/>
  <c r="E72" i="46" s="1"/>
  <c r="F72" i="46" s="1"/>
  <c r="E24" i="40"/>
  <c r="D22" i="42"/>
  <c r="C24" i="42"/>
  <c r="H24" i="42" s="1"/>
  <c r="C24" i="39"/>
  <c r="D22" i="39"/>
  <c r="D24" i="40"/>
  <c r="E22" i="46" l="1"/>
  <c r="F22" i="46" s="1"/>
  <c r="F16" i="46"/>
  <c r="G56" i="46"/>
  <c r="E73" i="46"/>
  <c r="D24" i="42"/>
  <c r="E22" i="42"/>
  <c r="E24" i="42" s="1"/>
  <c r="D24" i="39"/>
  <c r="E22" i="39"/>
  <c r="E24" i="39" s="1"/>
  <c r="H24" i="39"/>
  <c r="F73" i="46" l="1"/>
  <c r="F81" i="46" s="1"/>
  <c r="D23" i="38"/>
  <c r="E23" i="38" s="1"/>
  <c r="D21" i="38"/>
  <c r="E21" i="38" s="1"/>
  <c r="D20" i="38"/>
  <c r="E20" i="38" s="1"/>
  <c r="C19" i="38"/>
  <c r="H19" i="38" s="1"/>
  <c r="D18" i="38" l="1"/>
  <c r="D19" i="38" s="1"/>
  <c r="E18" i="38" l="1"/>
  <c r="E19" i="38" s="1"/>
  <c r="D31" i="37" l="1"/>
  <c r="E31" i="37" s="1"/>
  <c r="D29" i="37"/>
  <c r="E29" i="37" s="1"/>
  <c r="E86" i="36"/>
  <c r="D86" i="36"/>
  <c r="C86" i="36"/>
  <c r="I78" i="36"/>
  <c r="H78" i="36"/>
  <c r="D78" i="36"/>
  <c r="E78" i="36" s="1"/>
  <c r="I52" i="36"/>
  <c r="D52" i="36"/>
  <c r="I51" i="36"/>
  <c r="I50" i="36"/>
  <c r="I49" i="36"/>
  <c r="D49" i="36"/>
  <c r="E49" i="36" s="1"/>
  <c r="C48" i="36"/>
  <c r="I48" i="36" s="1"/>
  <c r="I46" i="36"/>
  <c r="D46" i="36"/>
  <c r="D45" i="36" s="1"/>
  <c r="I45" i="36"/>
  <c r="I44" i="36"/>
  <c r="D44" i="36"/>
  <c r="E44" i="36" s="1"/>
  <c r="I43" i="36"/>
  <c r="D43" i="36"/>
  <c r="I42" i="36"/>
  <c r="D42" i="36"/>
  <c r="E42" i="36" s="1"/>
  <c r="I41" i="36"/>
  <c r="E41" i="36"/>
  <c r="D41" i="36"/>
  <c r="I39" i="36"/>
  <c r="D39" i="36"/>
  <c r="E39" i="36" s="1"/>
  <c r="C37" i="36"/>
  <c r="I37" i="36" s="1"/>
  <c r="I36" i="36"/>
  <c r="D36" i="36"/>
  <c r="E36" i="36" s="1"/>
  <c r="I35" i="36"/>
  <c r="D35" i="36"/>
  <c r="E35" i="36" s="1"/>
  <c r="I34" i="36"/>
  <c r="D34" i="36"/>
  <c r="E34" i="36" s="1"/>
  <c r="D31" i="36"/>
  <c r="E31" i="36" s="1"/>
  <c r="E30" i="36" s="1"/>
  <c r="C30" i="36"/>
  <c r="I30" i="36" s="1"/>
  <c r="I17" i="36"/>
  <c r="D17" i="36"/>
  <c r="E68" i="21"/>
  <c r="E67" i="21"/>
  <c r="E66" i="21"/>
  <c r="E65" i="21"/>
  <c r="E64" i="21"/>
  <c r="E63" i="21"/>
  <c r="E62" i="21"/>
  <c r="E61" i="21"/>
  <c r="E60" i="21"/>
  <c r="E59" i="21"/>
  <c r="E58" i="21"/>
  <c r="E57" i="21"/>
  <c r="E56" i="21"/>
  <c r="E55" i="21"/>
  <c r="E54" i="21"/>
  <c r="E53" i="21"/>
  <c r="E50" i="21"/>
  <c r="E49" i="21"/>
  <c r="E48" i="21"/>
  <c r="E47" i="21"/>
  <c r="E46" i="21"/>
  <c r="E45" i="21"/>
  <c r="E43" i="21"/>
  <c r="E42" i="21"/>
  <c r="E41" i="21"/>
  <c r="E40" i="21"/>
  <c r="E39" i="21"/>
  <c r="E32" i="21"/>
  <c r="E31" i="21"/>
  <c r="E30" i="21"/>
  <c r="E29" i="21"/>
  <c r="E28" i="21"/>
  <c r="E27" i="21"/>
  <c r="E26" i="21"/>
  <c r="E25" i="21"/>
  <c r="E24" i="21"/>
  <c r="E23" i="21"/>
  <c r="E22" i="21"/>
  <c r="E21" i="21"/>
  <c r="E20" i="21"/>
  <c r="E14" i="21"/>
  <c r="E13" i="21"/>
  <c r="E12" i="21"/>
  <c r="E11" i="21"/>
  <c r="E10" i="21"/>
  <c r="E9" i="21"/>
  <c r="E39" i="20"/>
  <c r="E38" i="20"/>
  <c r="E37" i="20"/>
  <c r="E36" i="20"/>
  <c r="E35" i="20"/>
  <c r="E34" i="20"/>
  <c r="E33" i="20"/>
  <c r="E32" i="20"/>
  <c r="E31" i="20"/>
  <c r="E26" i="20"/>
  <c r="E25" i="20"/>
  <c r="E24" i="20"/>
  <c r="E23" i="20"/>
  <c r="E22" i="20"/>
  <c r="E16" i="20"/>
  <c r="E15" i="20"/>
  <c r="E14" i="20"/>
  <c r="E13" i="20"/>
  <c r="E12" i="20"/>
  <c r="E11" i="20"/>
  <c r="E10" i="20"/>
  <c r="E9" i="20"/>
  <c r="E28" i="19"/>
  <c r="E27" i="19"/>
  <c r="E26" i="19"/>
  <c r="E20" i="19"/>
  <c r="E19" i="19"/>
  <c r="E15" i="19"/>
  <c r="E14" i="19"/>
  <c r="E13" i="19"/>
  <c r="E12" i="19"/>
  <c r="E11" i="19"/>
  <c r="E35" i="18"/>
  <c r="E34" i="18"/>
  <c r="E33" i="18"/>
  <c r="E32" i="18"/>
  <c r="E31" i="18"/>
  <c r="E30" i="18"/>
  <c r="E29" i="18"/>
  <c r="E28" i="18"/>
  <c r="E22" i="18"/>
  <c r="E21" i="18"/>
  <c r="E20" i="18"/>
  <c r="E19" i="18"/>
  <c r="E18" i="18"/>
  <c r="E17" i="18"/>
  <c r="E16" i="18"/>
  <c r="E15" i="18"/>
  <c r="E14" i="18"/>
  <c r="E13" i="18"/>
  <c r="E12" i="18"/>
  <c r="E11" i="18"/>
  <c r="E41" i="17"/>
  <c r="E40" i="17"/>
  <c r="E39" i="17"/>
  <c r="E38" i="17"/>
  <c r="E37" i="17"/>
  <c r="E36" i="17"/>
  <c r="E35" i="17"/>
  <c r="E31" i="17"/>
  <c r="E30" i="17"/>
  <c r="E29" i="17"/>
  <c r="E28" i="17"/>
  <c r="E27" i="17"/>
  <c r="E23" i="17"/>
  <c r="E22" i="17"/>
  <c r="E21" i="17"/>
  <c r="E20" i="17"/>
  <c r="E19" i="17"/>
  <c r="E18" i="17"/>
  <c r="E17" i="17"/>
  <c r="E13" i="17"/>
  <c r="E12" i="17"/>
  <c r="E11" i="17"/>
  <c r="E10" i="17"/>
  <c r="E31" i="16"/>
  <c r="E28" i="16"/>
  <c r="E25" i="16"/>
  <c r="E22" i="16"/>
  <c r="E19" i="16"/>
  <c r="E16" i="16"/>
  <c r="E13" i="16"/>
  <c r="E10" i="16"/>
  <c r="E24" i="15"/>
  <c r="E22" i="15"/>
  <c r="E20" i="15"/>
  <c r="E18" i="15"/>
  <c r="E16" i="15"/>
  <c r="E14" i="15"/>
  <c r="E12" i="15"/>
  <c r="E10" i="15"/>
  <c r="E111" i="14"/>
  <c r="E110" i="14"/>
  <c r="E109" i="14"/>
  <c r="E108" i="14"/>
  <c r="E106" i="14"/>
  <c r="E105" i="14"/>
  <c r="E104" i="14"/>
  <c r="E102" i="14"/>
  <c r="E101" i="14"/>
  <c r="E100" i="14"/>
  <c r="E99" i="14"/>
  <c r="E98" i="14"/>
  <c r="E97" i="14"/>
  <c r="E96" i="14"/>
  <c r="E95" i="14"/>
  <c r="E92" i="14"/>
  <c r="E91" i="14"/>
  <c r="E90" i="14"/>
  <c r="E89" i="14"/>
  <c r="E88" i="14"/>
  <c r="E87" i="14"/>
  <c r="E86" i="14"/>
  <c r="E85" i="14"/>
  <c r="E84" i="14"/>
  <c r="E83" i="14"/>
  <c r="E82" i="14"/>
  <c r="E81" i="14"/>
  <c r="E80" i="14"/>
  <c r="E79" i="14"/>
  <c r="E78" i="14"/>
  <c r="E77" i="14"/>
  <c r="E76" i="14"/>
  <c r="E75" i="14"/>
  <c r="E74" i="14"/>
  <c r="E73" i="14"/>
  <c r="E72" i="14"/>
  <c r="E71" i="14"/>
  <c r="E68" i="14"/>
  <c r="E67" i="14"/>
  <c r="E66" i="14"/>
  <c r="E65" i="14"/>
  <c r="E64" i="14"/>
  <c r="E63" i="14"/>
  <c r="E62" i="14"/>
  <c r="E61" i="14"/>
  <c r="E60" i="14"/>
  <c r="E59" i="14"/>
  <c r="E58" i="14"/>
  <c r="E57" i="14"/>
  <c r="E56" i="14"/>
  <c r="E30" i="14"/>
  <c r="E54" i="14"/>
  <c r="E53" i="14"/>
  <c r="E52" i="14"/>
  <c r="E51" i="14"/>
  <c r="E50" i="14"/>
  <c r="E49" i="14"/>
  <c r="E48" i="14"/>
  <c r="E47" i="14"/>
  <c r="E46" i="14"/>
  <c r="E45" i="14"/>
  <c r="E44" i="14"/>
  <c r="E43" i="14"/>
  <c r="E42" i="14"/>
  <c r="E41" i="14"/>
  <c r="E40" i="14"/>
  <c r="E39" i="14"/>
  <c r="E38" i="14"/>
  <c r="E36" i="14"/>
  <c r="E35" i="14"/>
  <c r="E34" i="14"/>
  <c r="E33" i="14"/>
  <c r="E32" i="14"/>
  <c r="E31" i="14"/>
  <c r="E28" i="14"/>
  <c r="E27" i="14"/>
  <c r="E26" i="14"/>
  <c r="E25" i="14"/>
  <c r="E24" i="14"/>
  <c r="E23" i="14"/>
  <c r="E22" i="14"/>
  <c r="E21" i="14"/>
  <c r="E20" i="14"/>
  <c r="E19" i="14"/>
  <c r="E18" i="14"/>
  <c r="E17" i="14"/>
  <c r="E16" i="14"/>
  <c r="E15" i="14"/>
  <c r="E14" i="14"/>
  <c r="E13" i="14"/>
  <c r="E12" i="14"/>
  <c r="E11" i="14"/>
  <c r="E10" i="14"/>
  <c r="E61" i="13"/>
  <c r="E60" i="13"/>
  <c r="E59" i="13"/>
  <c r="E58" i="13"/>
  <c r="E57" i="13"/>
  <c r="E56" i="13"/>
  <c r="E54" i="13"/>
  <c r="E53" i="13"/>
  <c r="E52" i="13"/>
  <c r="E51" i="13"/>
  <c r="E50" i="13"/>
  <c r="E49" i="13"/>
  <c r="E48" i="13"/>
  <c r="E47" i="13"/>
  <c r="E46" i="13"/>
  <c r="E44" i="13"/>
  <c r="E43" i="13"/>
  <c r="E42" i="13"/>
  <c r="E41" i="13"/>
  <c r="E40" i="13"/>
  <c r="E30" i="13"/>
  <c r="E38" i="13"/>
  <c r="E37" i="13"/>
  <c r="E36" i="13"/>
  <c r="E35" i="13"/>
  <c r="E34" i="13"/>
  <c r="E33" i="13"/>
  <c r="E32" i="13"/>
  <c r="E31" i="13"/>
  <c r="E29" i="13"/>
  <c r="E27" i="13"/>
  <c r="E26" i="13"/>
  <c r="E25" i="13"/>
  <c r="E24" i="13"/>
  <c r="E23" i="13"/>
  <c r="E22" i="13"/>
  <c r="E21" i="13"/>
  <c r="E20" i="13"/>
  <c r="E19" i="13"/>
  <c r="E18" i="13"/>
  <c r="E17" i="13"/>
  <c r="E16" i="13"/>
  <c r="E15" i="13"/>
  <c r="E13" i="13"/>
  <c r="E12" i="13"/>
  <c r="E95" i="12"/>
  <c r="E92" i="12"/>
  <c r="E91" i="12"/>
  <c r="E90" i="12"/>
  <c r="E89" i="12"/>
  <c r="E88" i="12"/>
  <c r="E85" i="12"/>
  <c r="E84" i="12"/>
  <c r="E83" i="12"/>
  <c r="E82" i="12"/>
  <c r="E81" i="12"/>
  <c r="E80" i="12"/>
  <c r="E77" i="12"/>
  <c r="E74" i="12"/>
  <c r="E73" i="12"/>
  <c r="E72" i="12"/>
  <c r="E71" i="12"/>
  <c r="E70" i="12"/>
  <c r="E69" i="12"/>
  <c r="E68" i="12"/>
  <c r="E67" i="12"/>
  <c r="E66" i="12"/>
  <c r="E65" i="12"/>
  <c r="E63" i="12"/>
  <c r="E64" i="12"/>
  <c r="E47" i="12"/>
  <c r="E46" i="12"/>
  <c r="E45" i="12"/>
  <c r="E44" i="12"/>
  <c r="E43" i="12"/>
  <c r="E42" i="12"/>
  <c r="E41" i="12"/>
  <c r="E40" i="12"/>
  <c r="E39" i="12"/>
  <c r="E38" i="12"/>
  <c r="E37" i="12"/>
  <c r="E36" i="12"/>
  <c r="E35" i="12"/>
  <c r="E60" i="12"/>
  <c r="E59" i="12"/>
  <c r="E58" i="12"/>
  <c r="E57" i="12"/>
  <c r="E56" i="12"/>
  <c r="E55" i="12"/>
  <c r="E54" i="12"/>
  <c r="E53" i="12"/>
  <c r="E52" i="12"/>
  <c r="E51" i="12"/>
  <c r="E50" i="12"/>
  <c r="E32" i="12"/>
  <c r="E31" i="12"/>
  <c r="E30" i="12"/>
  <c r="E29" i="12"/>
  <c r="E28" i="12"/>
  <c r="E27" i="12"/>
  <c r="E26" i="12"/>
  <c r="E25" i="12"/>
  <c r="E24" i="12"/>
  <c r="E23" i="12"/>
  <c r="E22" i="12"/>
  <c r="E21" i="12"/>
  <c r="E20" i="12"/>
  <c r="E19" i="12"/>
  <c r="E18" i="12"/>
  <c r="E16" i="12"/>
  <c r="E17" i="12"/>
  <c r="E13" i="12"/>
  <c r="E12" i="12"/>
  <c r="E11" i="12"/>
  <c r="E10" i="12"/>
  <c r="E9" i="12"/>
  <c r="E8" i="12"/>
  <c r="E52" i="11"/>
  <c r="E50" i="11"/>
  <c r="E49" i="11"/>
  <c r="E48" i="11"/>
  <c r="E47" i="11"/>
  <c r="E46" i="11"/>
  <c r="E45" i="11"/>
  <c r="E44" i="11"/>
  <c r="E43" i="11"/>
  <c r="E42" i="11"/>
  <c r="E40" i="11"/>
  <c r="E39" i="11"/>
  <c r="E38" i="11"/>
  <c r="E29" i="11"/>
  <c r="E23" i="11"/>
  <c r="E36" i="11"/>
  <c r="E35" i="11"/>
  <c r="E34" i="11"/>
  <c r="E33" i="11"/>
  <c r="E32" i="11"/>
  <c r="E31" i="11"/>
  <c r="E30" i="11"/>
  <c r="E28" i="11"/>
  <c r="E25" i="11"/>
  <c r="E24" i="11"/>
  <c r="E22" i="11"/>
  <c r="E21" i="11"/>
  <c r="E20" i="11"/>
  <c r="E19" i="11"/>
  <c r="E18" i="11"/>
  <c r="E16" i="11"/>
  <c r="E15" i="11"/>
  <c r="E14" i="11"/>
  <c r="E13" i="11"/>
  <c r="E12" i="11"/>
  <c r="E11" i="11"/>
  <c r="E10" i="11"/>
  <c r="E25" i="9"/>
  <c r="E24" i="9"/>
  <c r="E23" i="9"/>
  <c r="E13" i="9"/>
  <c r="E8" i="9"/>
  <c r="E70" i="8"/>
  <c r="D30" i="36" l="1"/>
  <c r="D37" i="36"/>
  <c r="D48" i="36"/>
  <c r="E46" i="36"/>
  <c r="E45" i="36" s="1"/>
  <c r="E17" i="36"/>
  <c r="H37" i="36"/>
  <c r="E43" i="36"/>
  <c r="E37" i="36" s="1"/>
  <c r="H45" i="36"/>
  <c r="H48" i="36"/>
  <c r="E52" i="36"/>
  <c r="E48" i="36" s="1"/>
  <c r="C53" i="36"/>
  <c r="D53" i="36" l="1"/>
  <c r="E53" i="36"/>
  <c r="H53" i="36"/>
  <c r="I53" i="36"/>
  <c r="F29" i="8"/>
  <c r="G29" i="8" s="1"/>
  <c r="F29" i="11"/>
  <c r="G29" i="11" s="1"/>
  <c r="F30" i="12"/>
  <c r="G30" i="12" s="1"/>
  <c r="F30" i="13"/>
  <c r="G30" i="13" s="1"/>
  <c r="F30" i="14"/>
  <c r="G30" i="14" s="1"/>
  <c r="F21" i="31" l="1"/>
  <c r="G21" i="31" s="1"/>
  <c r="F11" i="31"/>
  <c r="G11" i="31" s="1"/>
  <c r="F31" i="16"/>
  <c r="G31" i="16" s="1"/>
  <c r="F68" i="21"/>
  <c r="G68" i="21" s="1"/>
  <c r="F67" i="21"/>
  <c r="G67" i="21" s="1"/>
  <c r="F66" i="21"/>
  <c r="G66" i="21" s="1"/>
  <c r="F65" i="21"/>
  <c r="G65" i="21" s="1"/>
  <c r="F64" i="21"/>
  <c r="G64" i="21" s="1"/>
  <c r="F63" i="21"/>
  <c r="G63" i="21" s="1"/>
  <c r="F62" i="21"/>
  <c r="G62" i="21" s="1"/>
  <c r="F61" i="21"/>
  <c r="G61" i="21" s="1"/>
  <c r="F60" i="21"/>
  <c r="G60" i="21" s="1"/>
  <c r="F59" i="21"/>
  <c r="G59" i="21" s="1"/>
  <c r="F58" i="21"/>
  <c r="G58" i="21" s="1"/>
  <c r="F57" i="21"/>
  <c r="G57" i="21" s="1"/>
  <c r="F56" i="21"/>
  <c r="G56" i="21" s="1"/>
  <c r="F55" i="21"/>
  <c r="G55" i="21" s="1"/>
  <c r="F54" i="21"/>
  <c r="G54" i="21" s="1"/>
  <c r="F53" i="21"/>
  <c r="G53" i="21" s="1"/>
  <c r="F50" i="21"/>
  <c r="G50" i="21" s="1"/>
  <c r="F49" i="21"/>
  <c r="G49" i="21" s="1"/>
  <c r="F48" i="21"/>
  <c r="G48" i="21" s="1"/>
  <c r="F47" i="21"/>
  <c r="G47" i="21" s="1"/>
  <c r="F46" i="21"/>
  <c r="G46" i="21" s="1"/>
  <c r="F45" i="21"/>
  <c r="G45" i="21" s="1"/>
  <c r="F44" i="21"/>
  <c r="G44" i="21" s="1"/>
  <c r="F43" i="21"/>
  <c r="G43" i="21" s="1"/>
  <c r="F42" i="21"/>
  <c r="G42" i="21" s="1"/>
  <c r="F41" i="21"/>
  <c r="G41" i="21" s="1"/>
  <c r="F40" i="21"/>
  <c r="G40" i="21" s="1"/>
  <c r="F39" i="21"/>
  <c r="G39" i="21" s="1"/>
  <c r="F32" i="21"/>
  <c r="G32" i="21" s="1"/>
  <c r="F31" i="21"/>
  <c r="G31" i="21" s="1"/>
  <c r="F30" i="21"/>
  <c r="G30" i="21" s="1"/>
  <c r="F29" i="21"/>
  <c r="G29" i="21" s="1"/>
  <c r="F28" i="21"/>
  <c r="G28" i="21" s="1"/>
  <c r="F27" i="21"/>
  <c r="G27" i="21" s="1"/>
  <c r="F26" i="21"/>
  <c r="G26" i="21" s="1"/>
  <c r="F25" i="21"/>
  <c r="G25" i="21" s="1"/>
  <c r="F24" i="21"/>
  <c r="G24" i="21" s="1"/>
  <c r="F23" i="21"/>
  <c r="G23" i="21" s="1"/>
  <c r="F22" i="21"/>
  <c r="G22" i="21" s="1"/>
  <c r="F21" i="21"/>
  <c r="G21" i="21" s="1"/>
  <c r="F20" i="21"/>
  <c r="G20" i="21" s="1"/>
  <c r="F14" i="21"/>
  <c r="G14" i="21" s="1"/>
  <c r="F13" i="21"/>
  <c r="G13" i="21" s="1"/>
  <c r="F12" i="21"/>
  <c r="G12" i="21" s="1"/>
  <c r="F11" i="21"/>
  <c r="G11" i="21" s="1"/>
  <c r="F10" i="21"/>
  <c r="G10" i="21" s="1"/>
  <c r="F9" i="21"/>
  <c r="G9" i="21" s="1"/>
  <c r="F39" i="20"/>
  <c r="G39" i="20" s="1"/>
  <c r="F38" i="20"/>
  <c r="G38" i="20" s="1"/>
  <c r="F37" i="20"/>
  <c r="G37" i="20" s="1"/>
  <c r="F36" i="20"/>
  <c r="G36" i="20" s="1"/>
  <c r="F35" i="20"/>
  <c r="G35" i="20" s="1"/>
  <c r="F34" i="20"/>
  <c r="G34" i="20" s="1"/>
  <c r="F33" i="20"/>
  <c r="G33" i="20" s="1"/>
  <c r="F32" i="20"/>
  <c r="G32" i="20" s="1"/>
  <c r="F31" i="20"/>
  <c r="F26" i="20"/>
  <c r="G26" i="20" s="1"/>
  <c r="F25" i="20"/>
  <c r="G25" i="20" s="1"/>
  <c r="F24" i="20"/>
  <c r="G24" i="20" s="1"/>
  <c r="F23" i="20"/>
  <c r="G23" i="20" s="1"/>
  <c r="F22" i="20"/>
  <c r="F16" i="20"/>
  <c r="G16" i="20" s="1"/>
  <c r="F15" i="20"/>
  <c r="G15" i="20" s="1"/>
  <c r="F14" i="20"/>
  <c r="G14" i="20" s="1"/>
  <c r="F13" i="20"/>
  <c r="G13" i="20" s="1"/>
  <c r="F12" i="20"/>
  <c r="G12" i="20" s="1"/>
  <c r="F11" i="20"/>
  <c r="G11" i="20" s="1"/>
  <c r="F10" i="20"/>
  <c r="G10" i="20" s="1"/>
  <c r="F9" i="20"/>
  <c r="G9" i="20" s="1"/>
  <c r="F28" i="19"/>
  <c r="G28" i="19" s="1"/>
  <c r="F27" i="19"/>
  <c r="G27" i="19" s="1"/>
  <c r="F26" i="19"/>
  <c r="G26" i="19" s="1"/>
  <c r="F20" i="19"/>
  <c r="G20" i="19" s="1"/>
  <c r="F19" i="19"/>
  <c r="G19" i="19" s="1"/>
  <c r="F15" i="19"/>
  <c r="G15" i="19" s="1"/>
  <c r="F14" i="19"/>
  <c r="G14" i="19" s="1"/>
  <c r="F13" i="19"/>
  <c r="G13" i="19" s="1"/>
  <c r="F12" i="19"/>
  <c r="G12" i="19" s="1"/>
  <c r="F11" i="19"/>
  <c r="G11" i="19" s="1"/>
  <c r="F10" i="19"/>
  <c r="G10" i="19" s="1"/>
  <c r="F35" i="18"/>
  <c r="G35" i="18" s="1"/>
  <c r="F34" i="18"/>
  <c r="G34" i="18" s="1"/>
  <c r="F33" i="18"/>
  <c r="G33" i="18" s="1"/>
  <c r="F32" i="18"/>
  <c r="G32" i="18" s="1"/>
  <c r="F31" i="18"/>
  <c r="G31" i="18" s="1"/>
  <c r="F30" i="18"/>
  <c r="G30" i="18" s="1"/>
  <c r="F29" i="18"/>
  <c r="G29" i="18" s="1"/>
  <c r="F28" i="18"/>
  <c r="F22" i="18"/>
  <c r="G22" i="18" s="1"/>
  <c r="F21" i="18"/>
  <c r="G21" i="18" s="1"/>
  <c r="F20" i="18"/>
  <c r="G20" i="18" s="1"/>
  <c r="F19" i="18"/>
  <c r="G19" i="18" s="1"/>
  <c r="F18" i="18"/>
  <c r="G18" i="18" s="1"/>
  <c r="F17" i="18"/>
  <c r="G17" i="18" s="1"/>
  <c r="F16" i="18"/>
  <c r="G16" i="18" s="1"/>
  <c r="F15" i="18"/>
  <c r="G15" i="18" s="1"/>
  <c r="F14" i="18"/>
  <c r="G14" i="18" s="1"/>
  <c r="F13" i="18"/>
  <c r="G13" i="18" s="1"/>
  <c r="F12" i="18"/>
  <c r="G12" i="18" s="1"/>
  <c r="A12" i="18"/>
  <c r="A13" i="18" s="1"/>
  <c r="A14" i="18" s="1"/>
  <c r="A15" i="18" s="1"/>
  <c r="A16" i="18" s="1"/>
  <c r="A17" i="18" s="1"/>
  <c r="A18" i="18" s="1"/>
  <c r="A19" i="18" s="1"/>
  <c r="A20" i="18" s="1"/>
  <c r="A21" i="18" s="1"/>
  <c r="A22" i="18" s="1"/>
  <c r="F11" i="18"/>
  <c r="G11" i="18" s="1"/>
  <c r="F41" i="17"/>
  <c r="G41" i="17" s="1"/>
  <c r="F40" i="17"/>
  <c r="G40" i="17" s="1"/>
  <c r="F39" i="17"/>
  <c r="G39" i="17" s="1"/>
  <c r="F38" i="17"/>
  <c r="G38" i="17" s="1"/>
  <c r="F37" i="17"/>
  <c r="G37" i="17" s="1"/>
  <c r="F36" i="17"/>
  <c r="G36" i="17" s="1"/>
  <c r="F35" i="17"/>
  <c r="G35" i="17" s="1"/>
  <c r="F31" i="17"/>
  <c r="G31" i="17" s="1"/>
  <c r="F30" i="17"/>
  <c r="G30" i="17" s="1"/>
  <c r="F29" i="17"/>
  <c r="G29" i="17" s="1"/>
  <c r="F28" i="17"/>
  <c r="G28" i="17" s="1"/>
  <c r="F27" i="17"/>
  <c r="G27" i="17" s="1"/>
  <c r="F23" i="17"/>
  <c r="G23" i="17" s="1"/>
  <c r="F22" i="17"/>
  <c r="G22" i="17" s="1"/>
  <c r="F21" i="17"/>
  <c r="G21" i="17" s="1"/>
  <c r="F20" i="17"/>
  <c r="G20" i="17" s="1"/>
  <c r="F19" i="17"/>
  <c r="G19" i="17" s="1"/>
  <c r="F18" i="17"/>
  <c r="G18" i="17" s="1"/>
  <c r="F17" i="17"/>
  <c r="G17" i="17" s="1"/>
  <c r="F13" i="17"/>
  <c r="G13" i="17" s="1"/>
  <c r="F12" i="17"/>
  <c r="G12" i="17" s="1"/>
  <c r="F11" i="17"/>
  <c r="G11" i="17" s="1"/>
  <c r="F10" i="17"/>
  <c r="G10" i="17" s="1"/>
  <c r="F28" i="16"/>
  <c r="G28" i="16" s="1"/>
  <c r="F25" i="16"/>
  <c r="G25" i="16" s="1"/>
  <c r="F22" i="16"/>
  <c r="G22" i="16" s="1"/>
  <c r="F19" i="16"/>
  <c r="G19" i="16" s="1"/>
  <c r="F16" i="16"/>
  <c r="G16" i="16" s="1"/>
  <c r="F13" i="16"/>
  <c r="G13" i="16" s="1"/>
  <c r="F10" i="16"/>
  <c r="G10" i="16" s="1"/>
  <c r="F24" i="15"/>
  <c r="F22" i="15"/>
  <c r="G22" i="15" s="1"/>
  <c r="F20" i="15"/>
  <c r="G20" i="15" s="1"/>
  <c r="F18" i="15"/>
  <c r="G18" i="15" s="1"/>
  <c r="F16" i="15"/>
  <c r="G16" i="15" s="1"/>
  <c r="F14" i="15"/>
  <c r="G14" i="15" s="1"/>
  <c r="F12" i="15"/>
  <c r="G12" i="15" s="1"/>
  <c r="F10" i="15"/>
  <c r="G10" i="15" s="1"/>
  <c r="F111" i="14"/>
  <c r="G111" i="14" s="1"/>
  <c r="F110" i="14"/>
  <c r="G110" i="14" s="1"/>
  <c r="F109" i="14"/>
  <c r="G109" i="14" s="1"/>
  <c r="F108" i="14"/>
  <c r="G108" i="14" s="1"/>
  <c r="F106" i="14"/>
  <c r="G106" i="14" s="1"/>
  <c r="F105" i="14"/>
  <c r="G105" i="14" s="1"/>
  <c r="F104" i="14"/>
  <c r="G104" i="14" s="1"/>
  <c r="F102" i="14"/>
  <c r="G102" i="14" s="1"/>
  <c r="F101" i="14"/>
  <c r="G101" i="14" s="1"/>
  <c r="F100" i="14"/>
  <c r="G100" i="14" s="1"/>
  <c r="F99" i="14"/>
  <c r="G99" i="14" s="1"/>
  <c r="F98" i="14"/>
  <c r="G98" i="14" s="1"/>
  <c r="F97" i="14"/>
  <c r="G97" i="14" s="1"/>
  <c r="F96" i="14"/>
  <c r="G96" i="14" s="1"/>
  <c r="F95" i="14"/>
  <c r="G95" i="14" s="1"/>
  <c r="F92" i="14"/>
  <c r="G92" i="14" s="1"/>
  <c r="F91" i="14"/>
  <c r="G91" i="14" s="1"/>
  <c r="F90" i="14"/>
  <c r="G90" i="14" s="1"/>
  <c r="F89" i="14"/>
  <c r="G89" i="14" s="1"/>
  <c r="F88" i="14"/>
  <c r="G88" i="14" s="1"/>
  <c r="F87" i="14"/>
  <c r="G87" i="14" s="1"/>
  <c r="F86" i="14"/>
  <c r="G86" i="14" s="1"/>
  <c r="F85" i="14"/>
  <c r="G85" i="14" s="1"/>
  <c r="F84" i="14"/>
  <c r="G84" i="14" s="1"/>
  <c r="F83" i="14"/>
  <c r="G83" i="14" s="1"/>
  <c r="F82" i="14"/>
  <c r="G82" i="14" s="1"/>
  <c r="F81" i="14"/>
  <c r="G81" i="14" s="1"/>
  <c r="F80" i="14"/>
  <c r="G80" i="14" s="1"/>
  <c r="F79" i="14"/>
  <c r="G79" i="14" s="1"/>
  <c r="F78" i="14"/>
  <c r="G78" i="14" s="1"/>
  <c r="F77" i="14"/>
  <c r="G77" i="14" s="1"/>
  <c r="F76" i="14"/>
  <c r="G76" i="14" s="1"/>
  <c r="F75" i="14"/>
  <c r="G75" i="14" s="1"/>
  <c r="F74" i="14"/>
  <c r="G74" i="14" s="1"/>
  <c r="F73" i="14"/>
  <c r="G73" i="14" s="1"/>
  <c r="F72" i="14"/>
  <c r="G72" i="14" s="1"/>
  <c r="F71" i="14"/>
  <c r="G71" i="14" s="1"/>
  <c r="F68" i="14"/>
  <c r="G68" i="14" s="1"/>
  <c r="F67" i="14"/>
  <c r="G67" i="14" s="1"/>
  <c r="F66" i="14"/>
  <c r="G66" i="14" s="1"/>
  <c r="F65" i="14"/>
  <c r="G65" i="14" s="1"/>
  <c r="F64" i="14"/>
  <c r="G64" i="14" s="1"/>
  <c r="F63" i="14"/>
  <c r="G63" i="14" s="1"/>
  <c r="F62" i="14"/>
  <c r="G62" i="14" s="1"/>
  <c r="F61" i="14"/>
  <c r="G61" i="14" s="1"/>
  <c r="F60" i="14"/>
  <c r="G60" i="14" s="1"/>
  <c r="F59" i="14"/>
  <c r="G59" i="14" s="1"/>
  <c r="F58" i="14"/>
  <c r="G58" i="14" s="1"/>
  <c r="F57" i="14"/>
  <c r="G57" i="14" s="1"/>
  <c r="F56" i="14"/>
  <c r="G56" i="14" s="1"/>
  <c r="F54" i="14"/>
  <c r="G54" i="14" s="1"/>
  <c r="F53" i="14"/>
  <c r="G53" i="14" s="1"/>
  <c r="F52" i="14"/>
  <c r="G52" i="14" s="1"/>
  <c r="F51" i="14"/>
  <c r="G51" i="14" s="1"/>
  <c r="F50" i="14"/>
  <c r="G50" i="14" s="1"/>
  <c r="F49" i="14"/>
  <c r="G49" i="14" s="1"/>
  <c r="F48" i="14"/>
  <c r="G48" i="14" s="1"/>
  <c r="F47" i="14"/>
  <c r="G47" i="14" s="1"/>
  <c r="F46" i="14"/>
  <c r="G46" i="14" s="1"/>
  <c r="F45" i="14"/>
  <c r="G45" i="14" s="1"/>
  <c r="F44" i="14"/>
  <c r="G44" i="14" s="1"/>
  <c r="F43" i="14"/>
  <c r="G43" i="14" s="1"/>
  <c r="F42" i="14"/>
  <c r="G42" i="14" s="1"/>
  <c r="F41" i="14"/>
  <c r="G41" i="14" s="1"/>
  <c r="F40" i="14"/>
  <c r="G40" i="14" s="1"/>
  <c r="F39" i="14"/>
  <c r="G39" i="14" s="1"/>
  <c r="F38" i="14"/>
  <c r="G38" i="14" s="1"/>
  <c r="F36" i="14"/>
  <c r="G36" i="14" s="1"/>
  <c r="F35" i="14"/>
  <c r="G35" i="14" s="1"/>
  <c r="F34" i="14"/>
  <c r="G34" i="14" s="1"/>
  <c r="F33" i="14"/>
  <c r="G33" i="14" s="1"/>
  <c r="F32" i="14"/>
  <c r="G32" i="14" s="1"/>
  <c r="F31" i="14"/>
  <c r="G31" i="14" s="1"/>
  <c r="F28" i="14"/>
  <c r="G28" i="14" s="1"/>
  <c r="F27" i="14"/>
  <c r="G27" i="14" s="1"/>
  <c r="F26" i="14"/>
  <c r="G26" i="14" s="1"/>
  <c r="F25" i="14"/>
  <c r="G25" i="14" s="1"/>
  <c r="F24" i="14"/>
  <c r="G24" i="14" s="1"/>
  <c r="F23" i="14"/>
  <c r="G23" i="14" s="1"/>
  <c r="F22" i="14"/>
  <c r="G22" i="14" s="1"/>
  <c r="F21" i="14"/>
  <c r="G21" i="14" s="1"/>
  <c r="F20" i="14"/>
  <c r="G20" i="14" s="1"/>
  <c r="F19" i="14"/>
  <c r="G19" i="14" s="1"/>
  <c r="F18" i="14"/>
  <c r="G18" i="14" s="1"/>
  <c r="F17" i="14"/>
  <c r="G17" i="14" s="1"/>
  <c r="F16" i="14"/>
  <c r="G16" i="14" s="1"/>
  <c r="F15" i="14"/>
  <c r="G15" i="14" s="1"/>
  <c r="F14" i="14"/>
  <c r="G14" i="14" s="1"/>
  <c r="F13" i="14"/>
  <c r="G13" i="14" s="1"/>
  <c r="F12" i="14"/>
  <c r="G12" i="14" s="1"/>
  <c r="F11" i="14"/>
  <c r="G11" i="14" s="1"/>
  <c r="F10" i="14"/>
  <c r="G10" i="14" s="1"/>
  <c r="F61" i="13"/>
  <c r="G61" i="13" s="1"/>
  <c r="F60" i="13"/>
  <c r="G60" i="13" s="1"/>
  <c r="F59" i="13"/>
  <c r="G59" i="13" s="1"/>
  <c r="F58" i="13"/>
  <c r="G58" i="13" s="1"/>
  <c r="F57" i="13"/>
  <c r="G57" i="13" s="1"/>
  <c r="F56" i="13"/>
  <c r="G56" i="13" s="1"/>
  <c r="F54" i="13"/>
  <c r="G54" i="13" s="1"/>
  <c r="F53" i="13"/>
  <c r="G53" i="13" s="1"/>
  <c r="F52" i="13"/>
  <c r="G52" i="13" s="1"/>
  <c r="F51" i="13"/>
  <c r="G51" i="13" s="1"/>
  <c r="F50" i="13"/>
  <c r="G50" i="13" s="1"/>
  <c r="F49" i="13"/>
  <c r="G49" i="13" s="1"/>
  <c r="F48" i="13"/>
  <c r="G48" i="13" s="1"/>
  <c r="F47" i="13"/>
  <c r="G47" i="13" s="1"/>
  <c r="F46" i="13"/>
  <c r="G46" i="13" s="1"/>
  <c r="F44" i="13"/>
  <c r="G44" i="13" s="1"/>
  <c r="F43" i="13"/>
  <c r="G43" i="13" s="1"/>
  <c r="F42" i="13"/>
  <c r="G42" i="13" s="1"/>
  <c r="F41" i="13"/>
  <c r="G41" i="13" s="1"/>
  <c r="F40" i="13"/>
  <c r="G40" i="13" s="1"/>
  <c r="F38" i="13"/>
  <c r="G38" i="13" s="1"/>
  <c r="F37" i="13"/>
  <c r="G37" i="13" s="1"/>
  <c r="F36" i="13"/>
  <c r="G36" i="13" s="1"/>
  <c r="F35" i="13"/>
  <c r="G35" i="13" s="1"/>
  <c r="F34" i="13"/>
  <c r="G34" i="13" s="1"/>
  <c r="F33" i="13"/>
  <c r="G33" i="13" s="1"/>
  <c r="F32" i="13"/>
  <c r="G32" i="13" s="1"/>
  <c r="F31" i="13"/>
  <c r="G31" i="13" s="1"/>
  <c r="F29" i="13"/>
  <c r="G29" i="13" s="1"/>
  <c r="F27" i="13"/>
  <c r="G27" i="13" s="1"/>
  <c r="F26" i="13"/>
  <c r="G26" i="13" s="1"/>
  <c r="F25" i="13"/>
  <c r="G25" i="13" s="1"/>
  <c r="F24" i="13"/>
  <c r="G24" i="13" s="1"/>
  <c r="F23" i="13"/>
  <c r="G23" i="13" s="1"/>
  <c r="F22" i="13"/>
  <c r="G22" i="13" s="1"/>
  <c r="F21" i="13"/>
  <c r="G21" i="13" s="1"/>
  <c r="F20" i="13"/>
  <c r="G20" i="13" s="1"/>
  <c r="F19" i="13"/>
  <c r="G19" i="13" s="1"/>
  <c r="A19" i="13"/>
  <c r="A20" i="13" s="1"/>
  <c r="A21" i="13" s="1"/>
  <c r="A22" i="13" s="1"/>
  <c r="F18" i="13"/>
  <c r="G18" i="13" s="1"/>
  <c r="F17" i="13"/>
  <c r="G17" i="13" s="1"/>
  <c r="F16" i="13"/>
  <c r="G16" i="13" s="1"/>
  <c r="F15" i="13"/>
  <c r="F13" i="13"/>
  <c r="G13" i="13" s="1"/>
  <c r="F12" i="13"/>
  <c r="G12" i="13" s="1"/>
  <c r="F95" i="12"/>
  <c r="G95" i="12" s="1"/>
  <c r="F92" i="12"/>
  <c r="G92" i="12" s="1"/>
  <c r="F91" i="12"/>
  <c r="G91" i="12" s="1"/>
  <c r="F90" i="12"/>
  <c r="G90" i="12" s="1"/>
  <c r="F89" i="12"/>
  <c r="G89" i="12" s="1"/>
  <c r="F88" i="12"/>
  <c r="G88" i="12" s="1"/>
  <c r="F85" i="12"/>
  <c r="G85" i="12" s="1"/>
  <c r="F84" i="12"/>
  <c r="G84" i="12" s="1"/>
  <c r="F83" i="12"/>
  <c r="G83" i="12" s="1"/>
  <c r="F82" i="12"/>
  <c r="G82" i="12" s="1"/>
  <c r="F81" i="12"/>
  <c r="G81" i="12" s="1"/>
  <c r="F80" i="12"/>
  <c r="G80" i="12" s="1"/>
  <c r="F77" i="12"/>
  <c r="G77" i="12" s="1"/>
  <c r="F74" i="12"/>
  <c r="G74" i="12" s="1"/>
  <c r="F73" i="12"/>
  <c r="G73" i="12" s="1"/>
  <c r="F72" i="12"/>
  <c r="G72" i="12" s="1"/>
  <c r="F71" i="12"/>
  <c r="G71" i="12" s="1"/>
  <c r="F70" i="12"/>
  <c r="G70" i="12" s="1"/>
  <c r="F69" i="12"/>
  <c r="G69" i="12" s="1"/>
  <c r="F68" i="12"/>
  <c r="G68" i="12" s="1"/>
  <c r="F67" i="12"/>
  <c r="G67" i="12" s="1"/>
  <c r="F66" i="12"/>
  <c r="G66" i="12" s="1"/>
  <c r="F65" i="12"/>
  <c r="G65" i="12" s="1"/>
  <c r="F64" i="12"/>
  <c r="G64" i="12" s="1"/>
  <c r="F63" i="12"/>
  <c r="F60" i="12"/>
  <c r="G60" i="12" s="1"/>
  <c r="F59" i="12"/>
  <c r="G59" i="12" s="1"/>
  <c r="F58" i="12"/>
  <c r="G58" i="12" s="1"/>
  <c r="F57" i="12"/>
  <c r="G57" i="12" s="1"/>
  <c r="F56" i="12"/>
  <c r="G56" i="12" s="1"/>
  <c r="F55" i="12"/>
  <c r="G55" i="12" s="1"/>
  <c r="F54" i="12"/>
  <c r="G54" i="12" s="1"/>
  <c r="F53" i="12"/>
  <c r="G53" i="12" s="1"/>
  <c r="F52" i="12"/>
  <c r="G52" i="12" s="1"/>
  <c r="F51" i="12"/>
  <c r="G51" i="12" s="1"/>
  <c r="F50" i="12"/>
  <c r="G50" i="12" s="1"/>
  <c r="F47" i="12"/>
  <c r="G47" i="12" s="1"/>
  <c r="F46" i="12"/>
  <c r="G46" i="12" s="1"/>
  <c r="F45" i="12"/>
  <c r="G45" i="12" s="1"/>
  <c r="F44" i="12"/>
  <c r="G44" i="12" s="1"/>
  <c r="F43" i="12"/>
  <c r="G43" i="12" s="1"/>
  <c r="F42" i="12"/>
  <c r="G42" i="12" s="1"/>
  <c r="F41" i="12"/>
  <c r="G41" i="12" s="1"/>
  <c r="F40" i="12"/>
  <c r="G40" i="12" s="1"/>
  <c r="F39" i="12"/>
  <c r="G39" i="12" s="1"/>
  <c r="F38" i="12"/>
  <c r="G38" i="12" s="1"/>
  <c r="F37" i="12"/>
  <c r="G37" i="12" s="1"/>
  <c r="F36" i="12"/>
  <c r="G36" i="12" s="1"/>
  <c r="F35" i="12"/>
  <c r="G35" i="12" s="1"/>
  <c r="F32" i="12"/>
  <c r="G32" i="12" s="1"/>
  <c r="F31" i="12"/>
  <c r="G31" i="12" s="1"/>
  <c r="F29" i="12"/>
  <c r="G29" i="12" s="1"/>
  <c r="F28" i="12"/>
  <c r="G28" i="12" s="1"/>
  <c r="F27" i="12"/>
  <c r="G27" i="12" s="1"/>
  <c r="F26" i="12"/>
  <c r="G26" i="12" s="1"/>
  <c r="F25" i="12"/>
  <c r="G25" i="12" s="1"/>
  <c r="F24" i="12"/>
  <c r="G24" i="12" s="1"/>
  <c r="F23" i="12"/>
  <c r="G23" i="12" s="1"/>
  <c r="F22" i="12"/>
  <c r="G22" i="12" s="1"/>
  <c r="F21" i="12"/>
  <c r="G21" i="12" s="1"/>
  <c r="F20" i="12"/>
  <c r="G20" i="12" s="1"/>
  <c r="F19" i="12"/>
  <c r="G19" i="12" s="1"/>
  <c r="F18" i="12"/>
  <c r="G18" i="12" s="1"/>
  <c r="F17" i="12"/>
  <c r="G17" i="12" s="1"/>
  <c r="F16" i="12"/>
  <c r="G16" i="12" s="1"/>
  <c r="F13" i="12"/>
  <c r="G13" i="12" s="1"/>
  <c r="F12" i="12"/>
  <c r="G12" i="12" s="1"/>
  <c r="F11" i="12"/>
  <c r="G11" i="12" s="1"/>
  <c r="F10" i="12"/>
  <c r="G10" i="12" s="1"/>
  <c r="F9" i="12"/>
  <c r="G9" i="12" s="1"/>
  <c r="F8" i="12"/>
  <c r="G8" i="12" s="1"/>
  <c r="F52" i="11"/>
  <c r="G52" i="11" s="1"/>
  <c r="F50" i="11"/>
  <c r="G50" i="11" s="1"/>
  <c r="F49" i="11"/>
  <c r="G49" i="11" s="1"/>
  <c r="F48" i="11"/>
  <c r="G48" i="11" s="1"/>
  <c r="F47" i="11"/>
  <c r="G47" i="11" s="1"/>
  <c r="F46" i="11"/>
  <c r="G46" i="11" s="1"/>
  <c r="F45" i="11"/>
  <c r="G45" i="11" s="1"/>
  <c r="F44" i="11"/>
  <c r="G44" i="11" s="1"/>
  <c r="F43" i="11"/>
  <c r="G43" i="11" s="1"/>
  <c r="F42" i="11"/>
  <c r="G42" i="11" s="1"/>
  <c r="F40" i="11"/>
  <c r="G40" i="11" s="1"/>
  <c r="F39" i="11"/>
  <c r="G39" i="11" s="1"/>
  <c r="F38" i="11"/>
  <c r="G38" i="11" s="1"/>
  <c r="F36" i="11"/>
  <c r="G36" i="11" s="1"/>
  <c r="F35" i="11"/>
  <c r="G35" i="11" s="1"/>
  <c r="F34" i="11"/>
  <c r="G34" i="11" s="1"/>
  <c r="F33" i="11"/>
  <c r="G33" i="11" s="1"/>
  <c r="F32" i="11"/>
  <c r="G32" i="11" s="1"/>
  <c r="F31" i="11"/>
  <c r="G31" i="11" s="1"/>
  <c r="F30" i="11"/>
  <c r="G30" i="11" s="1"/>
  <c r="F28" i="11"/>
  <c r="G28" i="11" s="1"/>
  <c r="F25" i="11"/>
  <c r="G25" i="11" s="1"/>
  <c r="F24" i="11"/>
  <c r="G24" i="11" s="1"/>
  <c r="F23" i="11"/>
  <c r="G23" i="11" s="1"/>
  <c r="F22" i="11"/>
  <c r="G22" i="11" s="1"/>
  <c r="F21" i="11"/>
  <c r="G21" i="11" s="1"/>
  <c r="F20" i="11"/>
  <c r="G20" i="11" s="1"/>
  <c r="F19" i="11"/>
  <c r="G19" i="11" s="1"/>
  <c r="F18" i="11"/>
  <c r="G18" i="11" s="1"/>
  <c r="F16" i="11"/>
  <c r="G16" i="11" s="1"/>
  <c r="F15" i="11"/>
  <c r="G15" i="11" s="1"/>
  <c r="F14" i="11"/>
  <c r="G14" i="11" s="1"/>
  <c r="F13" i="11"/>
  <c r="G13" i="11" s="1"/>
  <c r="F12" i="11"/>
  <c r="G12" i="11" s="1"/>
  <c r="F11" i="11"/>
  <c r="G11" i="11" s="1"/>
  <c r="F10" i="11"/>
  <c r="G10" i="11" s="1"/>
  <c r="F36" i="18" l="1"/>
  <c r="C16" i="39" s="1"/>
  <c r="F94" i="12"/>
  <c r="G94" i="12" s="1"/>
  <c r="C17" i="39"/>
  <c r="D16" i="39"/>
  <c r="D17" i="39" s="1"/>
  <c r="D25" i="39" s="1"/>
  <c r="G31" i="20"/>
  <c r="F40" i="20" s="1"/>
  <c r="G28" i="18"/>
  <c r="G39" i="18" s="1"/>
  <c r="G22" i="20"/>
  <c r="G27" i="20" s="1"/>
  <c r="G15" i="13"/>
  <c r="G14" i="13" s="1"/>
  <c r="G24" i="15"/>
  <c r="G25" i="15" s="1"/>
  <c r="G63" i="12"/>
  <c r="G62" i="12" s="1"/>
  <c r="G7" i="12"/>
  <c r="F22" i="31"/>
  <c r="G22" i="31"/>
  <c r="F12" i="31"/>
  <c r="G12" i="31"/>
  <c r="G69" i="21"/>
  <c r="G51" i="21"/>
  <c r="G33" i="21"/>
  <c r="G15" i="21"/>
  <c r="G17" i="20"/>
  <c r="G29" i="19"/>
  <c r="G16" i="19"/>
  <c r="G23" i="18"/>
  <c r="G42" i="17"/>
  <c r="G32" i="17"/>
  <c r="G24" i="17"/>
  <c r="G14" i="17"/>
  <c r="F32" i="16"/>
  <c r="G32" i="16"/>
  <c r="F29" i="16"/>
  <c r="G29" i="16"/>
  <c r="F26" i="16"/>
  <c r="G26" i="16"/>
  <c r="F23" i="16"/>
  <c r="G23" i="16"/>
  <c r="F20" i="16"/>
  <c r="G20" i="16"/>
  <c r="F17" i="16"/>
  <c r="G17" i="16"/>
  <c r="F14" i="16"/>
  <c r="G14" i="16"/>
  <c r="F11" i="16"/>
  <c r="G11" i="16"/>
  <c r="F23" i="15"/>
  <c r="G23" i="15"/>
  <c r="F21" i="15"/>
  <c r="G21" i="15"/>
  <c r="F19" i="15"/>
  <c r="G19" i="15"/>
  <c r="F17" i="15"/>
  <c r="G17" i="15"/>
  <c r="F15" i="15"/>
  <c r="G15" i="15"/>
  <c r="F13" i="15"/>
  <c r="G13" i="15"/>
  <c r="G11" i="15"/>
  <c r="F11" i="15"/>
  <c r="G107" i="14"/>
  <c r="G103" i="14"/>
  <c r="G94" i="14"/>
  <c r="G70" i="14"/>
  <c r="G55" i="14"/>
  <c r="G37" i="14"/>
  <c r="G29" i="14"/>
  <c r="G9" i="14"/>
  <c r="G55" i="13"/>
  <c r="G45" i="13"/>
  <c r="G39" i="13"/>
  <c r="G28" i="13"/>
  <c r="G11" i="13"/>
  <c r="G87" i="12"/>
  <c r="G79" i="12"/>
  <c r="F76" i="12"/>
  <c r="G76" i="12"/>
  <c r="G34" i="12"/>
  <c r="G49" i="12"/>
  <c r="G15" i="12"/>
  <c r="F51" i="11"/>
  <c r="G51" i="11"/>
  <c r="G41" i="11"/>
  <c r="G37" i="11"/>
  <c r="G27" i="11"/>
  <c r="G17" i="11"/>
  <c r="G9" i="11"/>
  <c r="F34" i="12"/>
  <c r="F49" i="12"/>
  <c r="F87" i="12"/>
  <c r="F21" i="19"/>
  <c r="C15" i="43" s="1"/>
  <c r="F7" i="12"/>
  <c r="F69" i="21"/>
  <c r="C19" i="44" s="1"/>
  <c r="F15" i="21"/>
  <c r="C16" i="44" s="1"/>
  <c r="F51" i="21"/>
  <c r="C18" i="44" s="1"/>
  <c r="F33" i="21"/>
  <c r="C17" i="44" s="1"/>
  <c r="F17" i="20"/>
  <c r="F27" i="20"/>
  <c r="F29" i="19"/>
  <c r="F16" i="19"/>
  <c r="F23" i="18"/>
  <c r="C16" i="38" s="1"/>
  <c r="F14" i="17"/>
  <c r="C16" i="45" s="1"/>
  <c r="F24" i="17"/>
  <c r="C17" i="45" s="1"/>
  <c r="F42" i="17"/>
  <c r="C19" i="45" s="1"/>
  <c r="F32" i="17"/>
  <c r="C18" i="45" s="1"/>
  <c r="D18" i="45" s="1"/>
  <c r="E18" i="45" s="1"/>
  <c r="F25" i="15"/>
  <c r="F107" i="14"/>
  <c r="F55" i="14"/>
  <c r="F103" i="14"/>
  <c r="F94" i="14"/>
  <c r="F70" i="14"/>
  <c r="F37" i="14"/>
  <c r="F29" i="14"/>
  <c r="F9" i="14"/>
  <c r="F11" i="13"/>
  <c r="K11" i="13" s="1"/>
  <c r="F39" i="13"/>
  <c r="F28" i="13"/>
  <c r="F14" i="13"/>
  <c r="F45" i="13"/>
  <c r="F55" i="13"/>
  <c r="F79" i="12"/>
  <c r="F62" i="12"/>
  <c r="F15" i="12"/>
  <c r="J15" i="12" s="1"/>
  <c r="F41" i="11"/>
  <c r="F17" i="11"/>
  <c r="F37" i="11"/>
  <c r="F9" i="11"/>
  <c r="F27" i="11"/>
  <c r="F25" i="9"/>
  <c r="G25" i="9" s="1"/>
  <c r="F24" i="9"/>
  <c r="G24" i="9" s="1"/>
  <c r="A24" i="9"/>
  <c r="A25" i="9" s="1"/>
  <c r="F23" i="9"/>
  <c r="F21" i="9"/>
  <c r="F19" i="9"/>
  <c r="F17" i="9"/>
  <c r="F15" i="9"/>
  <c r="F13" i="9"/>
  <c r="G13" i="9" s="1"/>
  <c r="F12" i="9"/>
  <c r="G12" i="9" s="1"/>
  <c r="F10" i="9"/>
  <c r="A10" i="9"/>
  <c r="A12" i="9" s="1"/>
  <c r="A13" i="9" s="1"/>
  <c r="A15" i="9" s="1"/>
  <c r="A17" i="9" s="1"/>
  <c r="A19" i="9" s="1"/>
  <c r="A21" i="9" s="1"/>
  <c r="F8" i="9"/>
  <c r="F83" i="8"/>
  <c r="G83" i="8" s="1"/>
  <c r="F82" i="8"/>
  <c r="G82" i="8" s="1"/>
  <c r="F81" i="8"/>
  <c r="G81" i="8" s="1"/>
  <c r="F80" i="8"/>
  <c r="G80" i="8" s="1"/>
  <c r="F79" i="8"/>
  <c r="G79" i="8" s="1"/>
  <c r="F78" i="8"/>
  <c r="G78" i="8" s="1"/>
  <c r="F77" i="8"/>
  <c r="G77" i="8" s="1"/>
  <c r="F76" i="8"/>
  <c r="G76" i="8" s="1"/>
  <c r="F75" i="8"/>
  <c r="G75" i="8" s="1"/>
  <c r="F74" i="8"/>
  <c r="G74" i="8" s="1"/>
  <c r="F73" i="8"/>
  <c r="G73" i="8" s="1"/>
  <c r="F72" i="8"/>
  <c r="G72" i="8" s="1"/>
  <c r="F71" i="8"/>
  <c r="G71" i="8" s="1"/>
  <c r="F70" i="8"/>
  <c r="G70" i="8" s="1"/>
  <c r="F69" i="8"/>
  <c r="G69" i="8" s="1"/>
  <c r="F68" i="8"/>
  <c r="G68" i="8" s="1"/>
  <c r="F67" i="8"/>
  <c r="G67" i="8" s="1"/>
  <c r="F66" i="8"/>
  <c r="G66" i="8" s="1"/>
  <c r="F65" i="8"/>
  <c r="G65" i="8" s="1"/>
  <c r="F64" i="8"/>
  <c r="G64" i="8" s="1"/>
  <c r="F63" i="8"/>
  <c r="G63" i="8" s="1"/>
  <c r="F62" i="8"/>
  <c r="G62" i="8" s="1"/>
  <c r="F61" i="8"/>
  <c r="G61" i="8" s="1"/>
  <c r="F60" i="8"/>
  <c r="G60" i="8" s="1"/>
  <c r="F59" i="8"/>
  <c r="G59" i="8" s="1"/>
  <c r="F58" i="8"/>
  <c r="G58" i="8" s="1"/>
  <c r="F57" i="8"/>
  <c r="G57" i="8" s="1"/>
  <c r="F56" i="8"/>
  <c r="G56" i="8" s="1"/>
  <c r="F55" i="8"/>
  <c r="G55" i="8" s="1"/>
  <c r="F54" i="8"/>
  <c r="G54" i="8" s="1"/>
  <c r="F53" i="8"/>
  <c r="G53" i="8" s="1"/>
  <c r="F52" i="8"/>
  <c r="G52" i="8" s="1"/>
  <c r="F51" i="8"/>
  <c r="G51" i="8" s="1"/>
  <c r="F50" i="8"/>
  <c r="G50" i="8" s="1"/>
  <c r="F47" i="8"/>
  <c r="G47" i="8" s="1"/>
  <c r="F46" i="8"/>
  <c r="G46" i="8" s="1"/>
  <c r="F45" i="8"/>
  <c r="G45" i="8" s="1"/>
  <c r="F44" i="8"/>
  <c r="G44" i="8" s="1"/>
  <c r="F43" i="8"/>
  <c r="G43" i="8" s="1"/>
  <c r="F42" i="8"/>
  <c r="G42" i="8" s="1"/>
  <c r="F41" i="8"/>
  <c r="G41" i="8" s="1"/>
  <c r="F40" i="8"/>
  <c r="G40" i="8" s="1"/>
  <c r="F39" i="8"/>
  <c r="G39" i="8" s="1"/>
  <c r="F36" i="8"/>
  <c r="G36" i="8" s="1"/>
  <c r="F35" i="8"/>
  <c r="G35" i="8" s="1"/>
  <c r="F34" i="8"/>
  <c r="G34" i="8" s="1"/>
  <c r="F31" i="8"/>
  <c r="G31" i="8" s="1"/>
  <c r="F30" i="8"/>
  <c r="G30" i="8" s="1"/>
  <c r="F28" i="8"/>
  <c r="G28" i="8" s="1"/>
  <c r="F27" i="8"/>
  <c r="G27" i="8" s="1"/>
  <c r="F26" i="8"/>
  <c r="G26" i="8" s="1"/>
  <c r="F25" i="8"/>
  <c r="G25" i="8" s="1"/>
  <c r="F22" i="8"/>
  <c r="G22" i="8" s="1"/>
  <c r="F21" i="8"/>
  <c r="G21" i="8" s="1"/>
  <c r="F20" i="8"/>
  <c r="G20" i="8" s="1"/>
  <c r="F19" i="8"/>
  <c r="G19" i="8" s="1"/>
  <c r="F18" i="8"/>
  <c r="G18" i="8" s="1"/>
  <c r="F17" i="8"/>
  <c r="G17" i="8" s="1"/>
  <c r="F16" i="8"/>
  <c r="G16" i="8" s="1"/>
  <c r="F15" i="8"/>
  <c r="G15" i="8" s="1"/>
  <c r="F14" i="8"/>
  <c r="G14" i="8" s="1"/>
  <c r="F13" i="8"/>
  <c r="G13" i="8" s="1"/>
  <c r="F12" i="8"/>
  <c r="G12" i="8" s="1"/>
  <c r="F11" i="8"/>
  <c r="G11" i="8" s="1"/>
  <c r="F10" i="8"/>
  <c r="G10" i="8" s="1"/>
  <c r="F9" i="8"/>
  <c r="G9" i="8" s="1"/>
  <c r="A9" i="8"/>
  <c r="A10" i="8" s="1"/>
  <c r="A11" i="8" s="1"/>
  <c r="A12" i="8" s="1"/>
  <c r="A13" i="8" s="1"/>
  <c r="A14" i="8" s="1"/>
  <c r="A15" i="8" s="1"/>
  <c r="A16" i="8" s="1"/>
  <c r="A17" i="8" s="1"/>
  <c r="A18" i="8" s="1"/>
  <c r="A19" i="8" s="1"/>
  <c r="A20" i="8" s="1"/>
  <c r="A21" i="8" s="1"/>
  <c r="A22" i="8" s="1"/>
  <c r="A25" i="8" s="1"/>
  <c r="A26" i="8" s="1"/>
  <c r="A27" i="8" s="1"/>
  <c r="A28" i="8" s="1"/>
  <c r="A29" i="8" s="1"/>
  <c r="A30" i="8" s="1"/>
  <c r="A31" i="8" s="1"/>
  <c r="A34" i="8" s="1"/>
  <c r="A35" i="8" s="1"/>
  <c r="A36" i="8" s="1"/>
  <c r="A39" i="8" s="1"/>
  <c r="A40" i="8" s="1"/>
  <c r="A41" i="8" s="1"/>
  <c r="A42" i="8" s="1"/>
  <c r="A43" i="8" s="1"/>
  <c r="A44" i="8" s="1"/>
  <c r="A45" i="8" s="1"/>
  <c r="A46" i="8" s="1"/>
  <c r="A47"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F8" i="8"/>
  <c r="G8" i="8" s="1"/>
  <c r="F26" i="11" l="1"/>
  <c r="D16" i="38"/>
  <c r="C17" i="38"/>
  <c r="H17" i="38" s="1"/>
  <c r="L42" i="20"/>
  <c r="C16" i="42"/>
  <c r="D19" i="45"/>
  <c r="E19" i="45" s="1"/>
  <c r="E16" i="39"/>
  <c r="E17" i="39" s="1"/>
  <c r="E25" i="39" s="1"/>
  <c r="D17" i="45"/>
  <c r="D20" i="45" s="1"/>
  <c r="D28" i="45" s="1"/>
  <c r="D15" i="43"/>
  <c r="D16" i="43" s="1"/>
  <c r="D24" i="43" s="1"/>
  <c r="C16" i="43"/>
  <c r="D16" i="45"/>
  <c r="E16" i="45"/>
  <c r="C20" i="45"/>
  <c r="H17" i="39"/>
  <c r="C25" i="39"/>
  <c r="C60" i="36" s="1"/>
  <c r="D19" i="44"/>
  <c r="E19" i="44" s="1"/>
  <c r="C20" i="44"/>
  <c r="D16" i="44"/>
  <c r="D18" i="44"/>
  <c r="E18" i="44" s="1"/>
  <c r="D17" i="44"/>
  <c r="E17" i="44" s="1"/>
  <c r="C16" i="41"/>
  <c r="C26" i="37"/>
  <c r="C62" i="36" s="1"/>
  <c r="C16" i="40"/>
  <c r="G21" i="19"/>
  <c r="I23" i="18"/>
  <c r="I37" i="18"/>
  <c r="G84" i="8"/>
  <c r="G8" i="9"/>
  <c r="G21" i="9"/>
  <c r="G19" i="9"/>
  <c r="G10" i="9"/>
  <c r="G17" i="9"/>
  <c r="G15" i="9"/>
  <c r="G23" i="9"/>
  <c r="F33" i="16"/>
  <c r="C24" i="37" s="1"/>
  <c r="D24" i="37" s="1"/>
  <c r="E24" i="37" s="1"/>
  <c r="G70" i="21"/>
  <c r="G43" i="17"/>
  <c r="G33" i="16"/>
  <c r="F26" i="15"/>
  <c r="C19" i="37" s="1"/>
  <c r="G26" i="15"/>
  <c r="G112" i="14"/>
  <c r="G62" i="13"/>
  <c r="G96" i="12"/>
  <c r="F96" i="12"/>
  <c r="C18" i="37" s="1"/>
  <c r="G26" i="11"/>
  <c r="F8" i="11"/>
  <c r="G8" i="11" s="1"/>
  <c r="F48" i="8"/>
  <c r="G48" i="8"/>
  <c r="G37" i="8"/>
  <c r="G32" i="8"/>
  <c r="G23" i="8"/>
  <c r="F84" i="8"/>
  <c r="F43" i="17"/>
  <c r="F70" i="21"/>
  <c r="F26" i="9"/>
  <c r="C28" i="37" s="1"/>
  <c r="F37" i="8"/>
  <c r="F23" i="8"/>
  <c r="F32" i="8"/>
  <c r="F112" i="14"/>
  <c r="C23" i="37" s="1"/>
  <c r="F62" i="13"/>
  <c r="C22" i="37" s="1"/>
  <c r="D16" i="42" l="1"/>
  <c r="D17" i="42" s="1"/>
  <c r="D25" i="42" s="1"/>
  <c r="C17" i="42"/>
  <c r="D23" i="37"/>
  <c r="E23" i="37"/>
  <c r="I62" i="36"/>
  <c r="D62" i="36"/>
  <c r="E62" i="36" s="1"/>
  <c r="E15" i="43"/>
  <c r="E16" i="43" s="1"/>
  <c r="E24" i="43" s="1"/>
  <c r="F85" i="8"/>
  <c r="C28" i="45"/>
  <c r="C26" i="36" s="1"/>
  <c r="H20" i="45"/>
  <c r="H16" i="43"/>
  <c r="C24" i="43"/>
  <c r="C20" i="36" s="1"/>
  <c r="D18" i="37"/>
  <c r="E18" i="37" s="1"/>
  <c r="D22" i="37"/>
  <c r="C25" i="37"/>
  <c r="C58" i="36" s="1"/>
  <c r="C63" i="36"/>
  <c r="D28" i="37"/>
  <c r="E28" i="37" s="1"/>
  <c r="D19" i="37"/>
  <c r="E19" i="37" s="1"/>
  <c r="I60" i="36"/>
  <c r="D60" i="36"/>
  <c r="E60" i="36" s="1"/>
  <c r="E17" i="45"/>
  <c r="E20" i="45" s="1"/>
  <c r="E28" i="45" s="1"/>
  <c r="E16" i="38"/>
  <c r="E17" i="38" s="1"/>
  <c r="D17" i="38"/>
  <c r="E16" i="44"/>
  <c r="E20" i="44" s="1"/>
  <c r="D20" i="44"/>
  <c r="D28" i="44" s="1"/>
  <c r="H20" i="44"/>
  <c r="C28" i="44"/>
  <c r="C25" i="36" s="1"/>
  <c r="E28" i="44"/>
  <c r="C17" i="41"/>
  <c r="D16" i="41"/>
  <c r="D17" i="41" s="1"/>
  <c r="D25" i="41" s="1"/>
  <c r="D26" i="37"/>
  <c r="D27" i="37" s="1"/>
  <c r="C27" i="37"/>
  <c r="H27" i="37" s="1"/>
  <c r="D16" i="40"/>
  <c r="D17" i="40" s="1"/>
  <c r="D25" i="40" s="1"/>
  <c r="C17" i="40"/>
  <c r="G26" i="9"/>
  <c r="G53" i="11"/>
  <c r="F53" i="11"/>
  <c r="C17" i="37" s="1"/>
  <c r="G85" i="8"/>
  <c r="E22" i="37" l="1"/>
  <c r="E25" i="37" s="1"/>
  <c r="D25" i="37"/>
  <c r="I58" i="36"/>
  <c r="D58" i="36"/>
  <c r="E58" i="36" s="1"/>
  <c r="I20" i="36"/>
  <c r="D20" i="36"/>
  <c r="E20" i="36" s="1"/>
  <c r="D17" i="37"/>
  <c r="C20" i="37"/>
  <c r="E16" i="42"/>
  <c r="E17" i="42" s="1"/>
  <c r="E25" i="42" s="1"/>
  <c r="I63" i="36"/>
  <c r="D63" i="36"/>
  <c r="E63" i="36" s="1"/>
  <c r="I26" i="36"/>
  <c r="D26" i="36"/>
  <c r="E26" i="36" s="1"/>
  <c r="H17" i="42"/>
  <c r="C25" i="42"/>
  <c r="C19" i="36" s="1"/>
  <c r="C27" i="36"/>
  <c r="I27" i="36" s="1"/>
  <c r="D25" i="36"/>
  <c r="I25" i="36"/>
  <c r="E16" i="41"/>
  <c r="E17" i="41" s="1"/>
  <c r="E25" i="41" s="1"/>
  <c r="C25" i="41"/>
  <c r="C18" i="36" s="1"/>
  <c r="H17" i="41"/>
  <c r="E26" i="37"/>
  <c r="E27" i="37" s="1"/>
  <c r="C25" i="40"/>
  <c r="C61" i="36" s="1"/>
  <c r="H17" i="40"/>
  <c r="E16" i="40"/>
  <c r="E17" i="40" s="1"/>
  <c r="E25" i="40" s="1"/>
  <c r="C30" i="37"/>
  <c r="C65" i="36" l="1"/>
  <c r="C65" i="46"/>
  <c r="I18" i="36"/>
  <c r="C16" i="36"/>
  <c r="D18" i="36"/>
  <c r="I61" i="36"/>
  <c r="D61" i="36"/>
  <c r="E61" i="36" s="1"/>
  <c r="I19" i="36"/>
  <c r="D19" i="36"/>
  <c r="E19" i="36" s="1"/>
  <c r="C57" i="36"/>
  <c r="H20" i="37"/>
  <c r="E17" i="37"/>
  <c r="E20" i="37" s="1"/>
  <c r="D20" i="37"/>
  <c r="E25" i="36"/>
  <c r="E27" i="36" s="1"/>
  <c r="D27" i="36"/>
  <c r="I65" i="36"/>
  <c r="D65" i="36"/>
  <c r="C24" i="38"/>
  <c r="D22" i="38"/>
  <c r="D30" i="37"/>
  <c r="D32" i="37" s="1"/>
  <c r="D33" i="37" s="1"/>
  <c r="C32" i="37"/>
  <c r="C33" i="37" s="1"/>
  <c r="D65" i="46" l="1"/>
  <c r="C67" i="46"/>
  <c r="E18" i="36"/>
  <c r="E16" i="36" s="1"/>
  <c r="E22" i="36" s="1"/>
  <c r="D16" i="36"/>
  <c r="D22" i="36" s="1"/>
  <c r="H16" i="36"/>
  <c r="I16" i="36"/>
  <c r="C22" i="36"/>
  <c r="I57" i="36"/>
  <c r="D57" i="36"/>
  <c r="E65" i="36"/>
  <c r="H32" i="37"/>
  <c r="H24" i="38"/>
  <c r="C25" i="38"/>
  <c r="C59" i="36" s="1"/>
  <c r="E22" i="38"/>
  <c r="E24" i="38" s="1"/>
  <c r="E25" i="38" s="1"/>
  <c r="D24" i="38"/>
  <c r="D25" i="38" s="1"/>
  <c r="E30" i="37"/>
  <c r="E32" i="37" s="1"/>
  <c r="E33" i="37" s="1"/>
  <c r="E65" i="46" l="1"/>
  <c r="D67" i="46"/>
  <c r="E57" i="36"/>
  <c r="I59" i="36"/>
  <c r="D59" i="36"/>
  <c r="E59" i="36" s="1"/>
  <c r="H22" i="36"/>
  <c r="I22" i="36"/>
  <c r="C56" i="36"/>
  <c r="G65" i="46" l="1"/>
  <c r="E67" i="46"/>
  <c r="H56" i="36"/>
  <c r="I56" i="36"/>
  <c r="C67" i="36"/>
  <c r="D56" i="36"/>
  <c r="D67" i="36" s="1"/>
  <c r="E56" i="36"/>
  <c r="E67" i="36" s="1"/>
  <c r="G67" i="46" l="1"/>
  <c r="G87" i="46" s="1"/>
  <c r="C79" i="36"/>
  <c r="I67" i="36"/>
  <c r="H67" i="36"/>
  <c r="D71" i="36"/>
  <c r="E71" i="36" s="1"/>
  <c r="E88" i="36" s="1"/>
  <c r="I71" i="36"/>
  <c r="C88" i="36"/>
  <c r="H88" i="36" s="1"/>
  <c r="I79" i="36" l="1"/>
  <c r="H79" i="36"/>
  <c r="D79" i="36"/>
  <c r="E79" i="36" s="1"/>
  <c r="C75" i="36"/>
  <c r="D88" i="36"/>
  <c r="C77" i="36"/>
  <c r="C70" i="36"/>
  <c r="C72" i="36" s="1"/>
  <c r="I88" i="36"/>
  <c r="C73" i="36" l="1"/>
  <c r="I75" i="36"/>
  <c r="D75" i="36"/>
  <c r="H75" i="36"/>
  <c r="D77" i="36"/>
  <c r="E77" i="36" s="1"/>
  <c r="I77" i="36"/>
  <c r="H77" i="36"/>
  <c r="H70" i="36"/>
  <c r="J71" i="36"/>
  <c r="I70" i="36"/>
  <c r="D70" i="36"/>
  <c r="D73" i="36" l="1"/>
  <c r="D81" i="36" s="1"/>
  <c r="D87" i="36" s="1"/>
  <c r="I73" i="36"/>
  <c r="H73" i="36"/>
  <c r="I72" i="36"/>
  <c r="D72" i="36"/>
  <c r="E72" i="36" s="1"/>
  <c r="C81" i="36"/>
  <c r="E70" i="36"/>
  <c r="H71" i="36"/>
  <c r="E75" i="36"/>
  <c r="E73" i="36" s="1"/>
  <c r="E81" i="36" l="1"/>
  <c r="E87" i="36" s="1"/>
  <c r="C87" i="36"/>
  <c r="H81" i="36"/>
  <c r="I81" i="36"/>
  <c r="I87" i="36" l="1"/>
  <c r="H87" i="36"/>
</calcChain>
</file>

<file path=xl/sharedStrings.xml><?xml version="1.0" encoding="utf-8"?>
<sst xmlns="http://schemas.openxmlformats.org/spreadsheetml/2006/main" count="2074" uniqueCount="823">
  <si>
    <t>Nr. crt.</t>
  </si>
  <si>
    <t>TVA</t>
  </si>
  <si>
    <t>Amenajarea terenului</t>
  </si>
  <si>
    <t>TOTAL CAPITOL 1</t>
  </si>
  <si>
    <t>TOTAL CAPITOL 2</t>
  </si>
  <si>
    <t>TOTAL CAPITOL 3</t>
  </si>
  <si>
    <t>TOTAL CAPITOL 4</t>
  </si>
  <si>
    <t>TOTAL CAPITOL 5</t>
  </si>
  <si>
    <t>TOTAL GENERAL</t>
  </si>
  <si>
    <t>Proiectant,</t>
  </si>
  <si>
    <t>lei/euro din data de</t>
  </si>
  <si>
    <t>În mii lei/mii euro la cursul</t>
  </si>
  <si>
    <t>Denumirea capitolelor și subcapitolelor de cheltuieli</t>
  </si>
  <si>
    <t>CAPITOLUL 1</t>
  </si>
  <si>
    <t>Cheltuieli pentru obținerea și amenajarea terenului</t>
  </si>
  <si>
    <t>Obținerea terenului</t>
  </si>
  <si>
    <t>CAPITOLUL 2</t>
  </si>
  <si>
    <t>Cheltuieli pentru asigurarea utilităților necesare obiectivului</t>
  </si>
  <si>
    <t>CAPITOLUL  3</t>
  </si>
  <si>
    <t>Cheltuieli pentru proiectare și asistență tehnică</t>
  </si>
  <si>
    <t>CAPITOLUL 4</t>
  </si>
  <si>
    <t>Cheltuieli pentru investiția de bază</t>
  </si>
  <si>
    <t>Dotări</t>
  </si>
  <si>
    <t>CAPITOLUL 5</t>
  </si>
  <si>
    <t>Alte cheltuieli</t>
  </si>
  <si>
    <t>verificare</t>
  </si>
  <si>
    <t>Branșamente</t>
  </si>
  <si>
    <t>Rețele exterioare</t>
  </si>
  <si>
    <t>Imprejmuiri si porti</t>
  </si>
  <si>
    <t>str. Aurora, nr.3, municipiul Dej, jud. Cluj</t>
  </si>
  <si>
    <t>Consultanta</t>
  </si>
  <si>
    <t>Construcții și instalații cladire noua</t>
  </si>
  <si>
    <t>Construcții și instalații cladire existenta</t>
  </si>
  <si>
    <t>Teren de sport</t>
  </si>
  <si>
    <t>LISTĂ DOTĂRI</t>
  </si>
  <si>
    <t>Nr.crt.</t>
  </si>
  <si>
    <t>Denumirea mobilierului</t>
  </si>
  <si>
    <t>UM</t>
  </si>
  <si>
    <t>Cant.</t>
  </si>
  <si>
    <t>PU/UM</t>
  </si>
  <si>
    <t>TOTAL (euro)</t>
  </si>
  <si>
    <t>SALI DE GRUPA, VESTIAR SI SALA MULTIFUNCTIONALA</t>
  </si>
  <si>
    <t>Mese pentru gradinita in salile de grupa (2 persoane)</t>
  </si>
  <si>
    <t>buc</t>
  </si>
  <si>
    <t>Scaune pentru gradinita in salile de grupa</t>
  </si>
  <si>
    <t>Paturi rabatabile cu corp</t>
  </si>
  <si>
    <t>Set complet patut (perna+saltea+patura)</t>
  </si>
  <si>
    <t>set</t>
  </si>
  <si>
    <t>Huse asternut (fata perna+cearceaf+fata patura)</t>
  </si>
  <si>
    <t>Dulapuri depozitare jucarii</t>
  </si>
  <si>
    <t>Dulap depozitare material didactic</t>
  </si>
  <si>
    <t>Birou educatoare</t>
  </si>
  <si>
    <t>Scaun tapitat educatoare</t>
  </si>
  <si>
    <t>Tabla sali de grupa</t>
  </si>
  <si>
    <t>Dulapioare vestiar copii</t>
  </si>
  <si>
    <t xml:space="preserve">Mese sala multifunctionala (2 persoane) </t>
  </si>
  <si>
    <t>Scaune pentru sala multifunctionala</t>
  </si>
  <si>
    <t>Televizor</t>
  </si>
  <si>
    <t>Calculator</t>
  </si>
  <si>
    <t>CABINET MEDICAL SI IZOLATOR</t>
  </si>
  <si>
    <t>Canapea consultatie</t>
  </si>
  <si>
    <t>Pat de spital izolator</t>
  </si>
  <si>
    <t>Dulap metalic medical</t>
  </si>
  <si>
    <t>Scaune tapitate</t>
  </si>
  <si>
    <t>Birou</t>
  </si>
  <si>
    <t>Imprimanta</t>
  </si>
  <si>
    <t>CABINETE EDUCATOARE</t>
  </si>
  <si>
    <t xml:space="preserve">Dulap cu 2 compartimente din lemn </t>
  </si>
  <si>
    <t>Birou cu modul aditional</t>
  </si>
  <si>
    <t>SPALATORIE, CALCATORIE, ELECTROCASNICE</t>
  </si>
  <si>
    <t xml:space="preserve">Masina de spalat rufe cu uscator </t>
  </si>
  <si>
    <t>Statie de calcat cu abur</t>
  </si>
  <si>
    <t>Masa de calcat</t>
  </si>
  <si>
    <t>Carucior rufe</t>
  </si>
  <si>
    <t>Sac pentru carucior</t>
  </si>
  <si>
    <t>Scaune</t>
  </si>
  <si>
    <t xml:space="preserve">Mobilier spalatorie, uscatorie, depozit rufe </t>
  </si>
  <si>
    <t xml:space="preserve">Mobilier calcatorie </t>
  </si>
  <si>
    <t>Aspirator cu spalare injectie-extractie</t>
  </si>
  <si>
    <t>DEPOZIT ALIMENTE, OFICIU SI BUCATARIE</t>
  </si>
  <si>
    <t>Aragaz 6 arzatoare si cuptor</t>
  </si>
  <si>
    <t>buc.</t>
  </si>
  <si>
    <t>Plita vitroceramica 4 ochiuri (oficiu)</t>
  </si>
  <si>
    <t>Hota+ventilator+filtre</t>
  </si>
  <si>
    <t>Ventilator aer</t>
  </si>
  <si>
    <t>Cuptor microunde</t>
  </si>
  <si>
    <t>Dulap frigider inox cu 2 usi</t>
  </si>
  <si>
    <t xml:space="preserve">Frigider 1 usa </t>
  </si>
  <si>
    <t>Robot de tocat si razuit</t>
  </si>
  <si>
    <t>Robot taiat legume</t>
  </si>
  <si>
    <t>Mixer</t>
  </si>
  <si>
    <t>Masina de spalat vase si pahare</t>
  </si>
  <si>
    <t>Masa intrare-iesire</t>
  </si>
  <si>
    <t>Masa incarcare cu dus de prespalare si spatiu pentru resturi, inclusiv accesorii</t>
  </si>
  <si>
    <t>Spalator inox 2 cuve si picurator inclusiv accesorii</t>
  </si>
  <si>
    <t>Spalator inox legume, inclusiv accesorii</t>
  </si>
  <si>
    <t>Sterilizator oua</t>
  </si>
  <si>
    <t>Spalator oale, cratire, tigai, inclusiv accesorii</t>
  </si>
  <si>
    <t>Spalator inox 1 cuva si picurator inclusiv accesorii</t>
  </si>
  <si>
    <t>Mese de lucru inox cu spatiu de depozitare</t>
  </si>
  <si>
    <t>Frigider pentru probe alimente</t>
  </si>
  <si>
    <t>Set tacamuri inox</t>
  </si>
  <si>
    <t>Set farfurii inox</t>
  </si>
  <si>
    <t>Cani inox</t>
  </si>
  <si>
    <t>Set vesela bucatarie</t>
  </si>
  <si>
    <t>Diverse accesorii</t>
  </si>
  <si>
    <t xml:space="preserve">Carucior transport alimente inox </t>
  </si>
  <si>
    <t>Mobilier bucatarie</t>
  </si>
  <si>
    <t>Mobilier ocifiu</t>
  </si>
  <si>
    <t xml:space="preserve">Mobilier depozit alimente </t>
  </si>
  <si>
    <t>Masa primire alimente</t>
  </si>
  <si>
    <t>Lada frigorifica</t>
  </si>
  <si>
    <t>Pubele</t>
  </si>
  <si>
    <t>Dulap metalic cu 2 usi pentru personal</t>
  </si>
  <si>
    <t>Aparat impotriva insectelor cu UV</t>
  </si>
  <si>
    <t>DOTARI PSI</t>
  </si>
  <si>
    <t>Stingator cu praf  CO2 tip P6</t>
  </si>
  <si>
    <t>Stingator carosabil tip P100</t>
  </si>
  <si>
    <t>Pichet PSI complet echipat+lada de nisip</t>
  </si>
  <si>
    <t>Set echipare spatiu joaca structura metalica, tobogane , casute din lemn,  leagane, inclusiv montaj si material de fixare)</t>
  </si>
  <si>
    <t>LISTĂ UTILAJE, ECHIPAMENTE TEHNOLOGICE SI FUNCTIONALE CU MONTAJ</t>
  </si>
  <si>
    <t>CENTRALA TELEFONICA</t>
  </si>
  <si>
    <t>Centrala telefonica</t>
  </si>
  <si>
    <t>ECHIPAMENT AVERTIZARE INCENDIU</t>
  </si>
  <si>
    <t>Echipament avertizare incendiu</t>
  </si>
  <si>
    <t>ECHIPAMENTE CURENTI SLABI</t>
  </si>
  <si>
    <t>Instalatie audio-video</t>
  </si>
  <si>
    <t>Centrala supraveghere, antiefractie</t>
  </si>
  <si>
    <t>ECHIPAMENT MONTCHARGE</t>
  </si>
  <si>
    <t>Echipament montcharge</t>
  </si>
  <si>
    <t>ECHIPAMENTE CENTRALA TERMICA -GAZ -ECHIPARE COMPLETA</t>
  </si>
  <si>
    <t>Cazan apa calda pt. incalzire, pompe, boiler, vas expansiune, sesizori, tablou automatizare, cos fum, etc</t>
  </si>
  <si>
    <t xml:space="preserve">ECHIPAMENTE SOLARE INCLUSIV MATERIALE ADIACENTE </t>
  </si>
  <si>
    <t>Echipamente panouri solare</t>
  </si>
  <si>
    <t xml:space="preserve">ECHIPAMENTE HIDRANTI INCENDIU INTERIORI </t>
  </si>
  <si>
    <t>Grup de pompare incendiu (pompa + rezervor)</t>
  </si>
  <si>
    <t>CONTORIZARE UTILITATI</t>
  </si>
  <si>
    <t>Contor apa</t>
  </si>
  <si>
    <t>Contor gaz</t>
  </si>
  <si>
    <t>Contor electric</t>
  </si>
  <si>
    <t xml:space="preserve">Reabilitarea, extinderea și dotarea grădiniței 
cu program prelungit Lumea Piticilor
</t>
  </si>
  <si>
    <t>REABILITARE CLADIRE EXISTENTA</t>
  </si>
  <si>
    <t>REZISTENTA</t>
  </si>
  <si>
    <t>Nr. Crt</t>
  </si>
  <si>
    <t>DENUMIRE</t>
  </si>
  <si>
    <t>1. DESFACERI, DEMONTARI</t>
  </si>
  <si>
    <t>mc</t>
  </si>
  <si>
    <t>kg</t>
  </si>
  <si>
    <t>Sapatura manuala pentru fundatii in spatii limitate sub 1 m latime , adancimea pana la 1,5 m, transport cu roaba la 30m</t>
  </si>
  <si>
    <t>Sapatura manuala in spatii largi, evacuare (incarcare+transport) excedent</t>
  </si>
  <si>
    <t>Umplutura manuala de pamant (imprestiere+compactare)</t>
  </si>
  <si>
    <t>Turnare beton simplu C8/10 in fundatii, rampa, scari insclusiv preparare si transport</t>
  </si>
  <si>
    <t>Turnare beton armat in pardoseli si elemente (la  cladiri existente), rampe, scari marca C12/15 , inclusiv preparare si transport, vibrare</t>
  </si>
  <si>
    <t>mp</t>
  </si>
  <si>
    <t>Umputuri din balast inclusiv transportul auto (sub pardoseli, trotuar alei)</t>
  </si>
  <si>
    <t>Otel beton OB37in fundatii si pardoseli, confectionare , transport, montare</t>
  </si>
  <si>
    <t>2.9</t>
  </si>
  <si>
    <t>Otel beton PC52 in fundatii si pardoseli, confectionare , transport, montare</t>
  </si>
  <si>
    <t>2.10</t>
  </si>
  <si>
    <t>Confectii metalice inglobatesi diverse, procurare, transport, montare</t>
  </si>
  <si>
    <t>2.11</t>
  </si>
  <si>
    <t>Vopsitorii conf. metalice</t>
  </si>
  <si>
    <t>to</t>
  </si>
  <si>
    <t>2.12</t>
  </si>
  <si>
    <t>2.13</t>
  </si>
  <si>
    <t xml:space="preserve">3. BETOANE IN STRUCTURA </t>
  </si>
  <si>
    <t>Turnare beton armat marca C16/20 in samburi, grinzi, centuri  si buiandrugi, inclusiv preparare si transport, vibrare</t>
  </si>
  <si>
    <t>Turnare beton armat marca C16/20 in placi, inclusiv preparare si transport, vibrare</t>
  </si>
  <si>
    <t xml:space="preserve">Cofraje pentru placi inclusiv sustineri </t>
  </si>
  <si>
    <t>Cofraje pentru  samburi, grinzi, centuri  si buiandrugi, inclusiv sustineri</t>
  </si>
  <si>
    <t>Otel beton PC52  confectionare , transport, montare</t>
  </si>
  <si>
    <t>Structura metralica casa scarii incl.grunduire</t>
  </si>
  <si>
    <t>Vopsitorii conf.metalica incl.grunduire</t>
  </si>
  <si>
    <t xml:space="preserve">Confectii metalice </t>
  </si>
  <si>
    <t>4. SARPANTA, PLANSEU DIN LEMN</t>
  </si>
  <si>
    <t>Sarpanta din lemn, inclusiv tratarea materialului lemnos antiseptic si ignifug - consolidare +inlocuire partiale</t>
  </si>
  <si>
    <t>Confectii metalice pentru sarpanta, procurare, transport, montare</t>
  </si>
  <si>
    <t>Grunduire si vopsire confectii</t>
  </si>
  <si>
    <t>Podina tehnologica</t>
  </si>
  <si>
    <t>Copertina din policarbonat in zona intrare subsol, incl.structura metalica</t>
  </si>
  <si>
    <t>RAMPA PERSOANE CU HANDICAP</t>
  </si>
  <si>
    <t>Turnare beton armat in pardoseli si elemente , rampe, scari marca C12/15 , inclusiv preparare si transport, vibrare</t>
  </si>
  <si>
    <t>Tencuieli exterioare cu similipiatra -rampa</t>
  </si>
  <si>
    <t>Cofraje pentru beton</t>
  </si>
  <si>
    <t>Strat de separatie</t>
  </si>
  <si>
    <t>Balustrada metalica din teava patrata+cu panouri plexiglas</t>
  </si>
  <si>
    <t>6. LUCRARI EXTERIOARE</t>
  </si>
  <si>
    <t>Sapatura manuala in jurul cladirii, adancime 1m pentru asigurae spatiu aplicare termo si hidroizolatii soclu si fundatii</t>
  </si>
  <si>
    <t>Umplutura manuala de pamant( imprastiere si compactare pentru aducere la cota sistematizata)</t>
  </si>
  <si>
    <t>Evacuare excedent, transport cu roaba, incarcare in auto, transport auto, taxa moloz</t>
  </si>
  <si>
    <t>Termoizolatie cu polistiren extrudat 5 cm grosime, inclusiv adeziv,piese speciale de fixare de soclu si fundatie</t>
  </si>
  <si>
    <t>Hidroizolatie verticala cu TEFOND inclusiv elemente de fixare</t>
  </si>
  <si>
    <t>Epuismente</t>
  </si>
  <si>
    <t>ore</t>
  </si>
  <si>
    <t>Intocmit</t>
  </si>
  <si>
    <t>ing. Dadarlat Ionel</t>
  </si>
  <si>
    <t>CLADIRE NOUA</t>
  </si>
  <si>
    <t>Lista evaluare lucrari cladire noua -proiect unicat</t>
  </si>
  <si>
    <t>Denumire articol de lucrare</t>
  </si>
  <si>
    <t>Cantitate</t>
  </si>
  <si>
    <t>PU</t>
  </si>
  <si>
    <t>Valoare EURO</t>
  </si>
  <si>
    <t>A. INFRASTRUCTURA</t>
  </si>
  <si>
    <t>Sapaturi, umpluturi, fundatii</t>
  </si>
  <si>
    <t>Sapaturi mecanice cu buldozerul si excavatorul si spatii largi</t>
  </si>
  <si>
    <t>smc</t>
  </si>
  <si>
    <t>Sapaturi manuale de pamant in spatii limitate sub latime de 1 m latime, pentru fundatii inclusiv evacuarea  in depozit si taxa de depozitare</t>
  </si>
  <si>
    <t xml:space="preserve">Umpluturi mecanice -imprastiere- compactarea mecanica si udarea cu apa </t>
  </si>
  <si>
    <t xml:space="preserve">Umpluturi manuale -imprastiere- compactarea manuala si udarea cu apa </t>
  </si>
  <si>
    <t>Umplutura balast sub pardoseli, incl. transport</t>
  </si>
  <si>
    <t>Sprijiniri de maluri</t>
  </si>
  <si>
    <t>Epuismente – ape meteorice – pe baza de caiet de atasamente ore epuismente</t>
  </si>
  <si>
    <t>2</t>
  </si>
  <si>
    <t>Betoane, armaturi</t>
  </si>
  <si>
    <t>Beton simplu marca C8/10 in strat de egalizare (preparare, transport, turnare, vibrare, aditivi)</t>
  </si>
  <si>
    <t>Beton armat marca C16/20 in fundatii si elevatii (preparare, transport, turnare, vibrare, aditivi)</t>
  </si>
  <si>
    <t>Cofraje pentru turnat beton in elevatie, centuri, rampa, trepte</t>
  </si>
  <si>
    <t>Otel beton OB 37 si PC52 (procurare transport, confectionare, montare)</t>
  </si>
  <si>
    <t>Beton armat marca C16/20 in pardoseala (preparare,transport, turnare, vibrare, aditivi)</t>
  </si>
  <si>
    <t>Otel beton in pardoseli plasa Ø 6/100/100  (procurare, transport, confectionare, montare) 4,5kg/mp</t>
  </si>
  <si>
    <t>Confectii metalice inlobate</t>
  </si>
  <si>
    <t>Folie de separatie</t>
  </si>
  <si>
    <t>B. SUPRASTRUCTURA</t>
  </si>
  <si>
    <t>3</t>
  </si>
  <si>
    <t>Stalpi, grinzi, centuri, buiandrugi, plansee din beton armat</t>
  </si>
  <si>
    <t>1</t>
  </si>
  <si>
    <t xml:space="preserve">Beton armat marca C20/25 turnat in stalpi, grinzi,pereti, buiandrugi din beton armat (preparare, transport, turnare, vibrare, aditivi) </t>
  </si>
  <si>
    <t xml:space="preserve">Beton armat marca C20/25 turnat in plansee (preparare,transport, turnare, vibrare, aditivi) </t>
  </si>
  <si>
    <t>4</t>
  </si>
  <si>
    <t>Cofraje pentru stalpii</t>
  </si>
  <si>
    <t>5</t>
  </si>
  <si>
    <t xml:space="preserve">Cofraje pentru  grinzi, buiandrugi </t>
  </si>
  <si>
    <t>6</t>
  </si>
  <si>
    <t>7</t>
  </si>
  <si>
    <t>Termoizolatie din polistiren extrudat de 7,5 cm grosime la stalpi si grinzi (exterior)</t>
  </si>
  <si>
    <t>8</t>
  </si>
  <si>
    <t>9</t>
  </si>
  <si>
    <t>Structura metalica scara exterioara incl.balustrazi conf.,montare, grunduira, vopsire</t>
  </si>
  <si>
    <t>SARPANTA</t>
  </si>
  <si>
    <t>Sarpanta din lemn, inclusiv tratare antiseptica si ignifuga (      mc mat lemn)</t>
  </si>
  <si>
    <t>Confectii metalice pentru sarpanta</t>
  </si>
  <si>
    <t>Balustrada metalica din teava patrata</t>
  </si>
  <si>
    <t>Alte cheltuieli adiacente</t>
  </si>
  <si>
    <t>euro</t>
  </si>
  <si>
    <t>CORP DE LEGATURA</t>
  </si>
  <si>
    <t>Corp de legatura</t>
  </si>
  <si>
    <t xml:space="preserve">TOTAL </t>
  </si>
  <si>
    <r>
      <t>Nota:</t>
    </r>
    <r>
      <rPr>
        <sz val="8"/>
        <rFont val="Arial"/>
        <family val="2"/>
      </rPr>
      <t xml:space="preserve"> Articolele cotate vor cuprinde toate operatiile necesare efectuarii lucrarilor – procurari materiale, preparari, transporturi, prelucrari, punere in opera, utilaje si echipamente de lucru, schele mobile si fixe, macarale, automacarale, etc.  </t>
    </r>
  </si>
  <si>
    <t xml:space="preserve">Reabilitarea, extinderea și dotarea grădiniței cu program prelungit Lumea Piticilor
</t>
  </si>
  <si>
    <t>ZIDARII, PERETI</t>
  </si>
  <si>
    <t>Zidarie din BCA 30 si 25 cm grosime, inclusiv mortar M25 Z preparare, transport</t>
  </si>
  <si>
    <t>Zidarie din BCA de 15 cm grosime, inclusiv mortar M25 Z preparare, transport</t>
  </si>
  <si>
    <t xml:space="preserve">Pereti gipscarton antiumezeala de 12,5 cm grosime pe structura metalica + termoizolatie vata minerala </t>
  </si>
  <si>
    <t>Masca gips carton incl. schelet met.si izolatie termica (pentru conducte)</t>
  </si>
  <si>
    <t>m</t>
  </si>
  <si>
    <t xml:space="preserve">Compartimentari la grupurile sociale cu panouri MDF h=1m placate cu HPL </t>
  </si>
  <si>
    <t>Cos de fum SCHEDEL 10m</t>
  </si>
  <si>
    <t>INVELITOARE</t>
  </si>
  <si>
    <t>Astereala din placi OSB de 10 mm grosime ignifugata si tratata antiseptic, cu prinderea pe capriori</t>
  </si>
  <si>
    <t>Invelitoare din tabla cutata prevopsita tip LINDAB sau sumilar inclusiv elementele de prindere, inclusiv sipcile orizontale si verticale din lemn 2,4 x 4,8 cm , accesorii (coame, dolii, sorturi, ventilatii, etc.)membrana, incluse.</t>
  </si>
  <si>
    <t>Burlane din tabla prevopsita (LINDABsau similar) Ø10 cm</t>
  </si>
  <si>
    <t>Jgheaburi din tabla (LINDAB sau similar) Ø15 cm</t>
  </si>
  <si>
    <t>Pazii din lemn 0,30 m latime tratate antiseptic, ignifug si vopsite</t>
  </si>
  <si>
    <t>Sort din tabla prevopsita 12cm latime</t>
  </si>
  <si>
    <t>Parazapezi</t>
  </si>
  <si>
    <t>2.8</t>
  </si>
  <si>
    <t>Strat termoizolant din polistiren extrudat de 10 cm grosime peste placa din beton armat</t>
  </si>
  <si>
    <t>Sapa slab armata 5 cm grosime M100T - protectie peste termoizolatie (plasa sudata Ø 4 -100/100mm ; 2,2 kg/mp)</t>
  </si>
  <si>
    <t>Folie anticondens sub strat termoizolatie</t>
  </si>
  <si>
    <t>Folie protectie peste termoizolatie</t>
  </si>
  <si>
    <t>Chepeng metalic pentru acces in pod</t>
  </si>
  <si>
    <t>Scara metalica plianta pentru acces in pod.</t>
  </si>
  <si>
    <t>2.14</t>
  </si>
  <si>
    <t>Podina circulatie tehnologica (mat. lemnos tratat)</t>
  </si>
  <si>
    <t>2.15</t>
  </si>
  <si>
    <t>Strat termoizolant din polistiren de fatada in pod</t>
  </si>
  <si>
    <t>2.16</t>
  </si>
  <si>
    <t>Tabachere 70x60 cm din tabla zincata</t>
  </si>
  <si>
    <t>2.17</t>
  </si>
  <si>
    <t>Invelitoare din policarbonat incl.structura metalica de sustinere (12 mp)</t>
  </si>
  <si>
    <t>TENCUIELI INTERIOARE SI EXTERIOARE</t>
  </si>
  <si>
    <t>Tencuieli interioare driscuite la pereti pe zidarie de caramida, sau beton de 2 cm grosime executata cu mortar var-ciment M25 T pentru stratul de suport si M10 T pentru grund si strat vizibil, incl.preparare, transport mortar</t>
  </si>
  <si>
    <t>Tencuieli in jurul tocurilor la usi si pervazurilor la ferestre, mortar M25 T medie 20 cm latime.(incl.preparare si transport mortar)</t>
  </si>
  <si>
    <t>Tencuieli interioare la tavane executate cu mortar M25 T de 2 cm grosime (incl. preparare si tr. mortar)</t>
  </si>
  <si>
    <t>Glet de ipsos pe tencuieli interioare la pereti si tavane</t>
  </si>
  <si>
    <t>Masti pentru radiatoare</t>
  </si>
  <si>
    <t>Tencuieli exterioare structurate aplicate pe termosistem, incl. schela</t>
  </si>
  <si>
    <t>Lambriuri din lemn incl.suport</t>
  </si>
  <si>
    <t>Termosistem la fatada executat cu polistiren expandat pentru fatade de 10 cm grosime inclusiv píesele de fixare, material de lipire, plasa din fibra de sticla , grund,  inclusiv schela de lucru</t>
  </si>
  <si>
    <t>3.10</t>
  </si>
  <si>
    <t xml:space="preserve">Tencuieli exterioare impermeabile la soclu,incl preparare, transport mortar </t>
  </si>
  <si>
    <t>3.11</t>
  </si>
  <si>
    <t xml:space="preserve">Hidroizolatie verticala soclu  TEFOND sau similar </t>
  </si>
  <si>
    <t>3.12</t>
  </si>
  <si>
    <t xml:space="preserve">Hidroizolatie orizontala sub ziduri </t>
  </si>
  <si>
    <t>3.13</t>
  </si>
  <si>
    <t>Hidroizolatie orizontala si vert.MAXEAL FLEX sau similar in 2 str. La bai</t>
  </si>
  <si>
    <t>3.14</t>
  </si>
  <si>
    <t>Polistiren extrudat 5 cm grosime la elevatii, mortar lipire+piese fixare+ plasa, grund</t>
  </si>
  <si>
    <t>PARDOSELI, PLACAJE</t>
  </si>
  <si>
    <t>4.1</t>
  </si>
  <si>
    <t>Strat suport pentru pardoseli din mortar M100 T, 3 cm grosime cu fata fin driscuita incl.preparare, transport mortar</t>
  </si>
  <si>
    <t>4.2</t>
  </si>
  <si>
    <t>Pardoseli din covor PVC trafic intens, inclusiv material lipire si sudare, plinte</t>
  </si>
  <si>
    <t>4.3</t>
  </si>
  <si>
    <t>Pardoseli din placi de gresie antiderapante inclusiv stratul de pozare, la coridoare, windfanguri, holuri, podeste si trepte, incl. plinte</t>
  </si>
  <si>
    <t>4.4</t>
  </si>
  <si>
    <t>Placaj din gresie antiderapanta la exterior inclusiv stratul de fixare si de rost, coltare din aluminiu</t>
  </si>
  <si>
    <t>Sapa autonivelatoare 5 mm grosime</t>
  </si>
  <si>
    <t>4.5</t>
  </si>
  <si>
    <r>
      <t>Placaj din faianta la grupurile sociale inclusiv stratul de fixare</t>
    </r>
    <r>
      <rPr>
        <sz val="12"/>
        <color indexed="10"/>
        <rFont val="Times New Roman"/>
        <family val="1"/>
      </rPr>
      <t xml:space="preserve"> de rost, coltare PVC</t>
    </r>
  </si>
  <si>
    <t>4.6</t>
  </si>
  <si>
    <t>Pardoseli din mozaic la CT</t>
  </si>
  <si>
    <t>4.7</t>
  </si>
  <si>
    <t>Termoizolatie sub pardoseala din polistiren extrudat de 5 cm grosime</t>
  </si>
  <si>
    <t>4.8</t>
  </si>
  <si>
    <t>Folie polietilena sub sapa suport (peste balast) cu rol de separare</t>
  </si>
  <si>
    <t>4.9</t>
  </si>
  <si>
    <t>4.10</t>
  </si>
  <si>
    <t>Trepte placate cu gresie antiderapanta incl.contratrepte</t>
  </si>
  <si>
    <t>TAMPLARIE</t>
  </si>
  <si>
    <t>5.1</t>
  </si>
  <si>
    <t>Ferestre dinlemn stratificat cu geam termopan si bariera termica 4-12-4</t>
  </si>
  <si>
    <t>5.2</t>
  </si>
  <si>
    <t>Usi exterioare – tamplarie din lemn stratificat cu geam termopan si bariera termica</t>
  </si>
  <si>
    <t>5.3</t>
  </si>
  <si>
    <t>Usi interioare din lemn stratificat</t>
  </si>
  <si>
    <t>5.4</t>
  </si>
  <si>
    <t>Usi interioare din lemn pentru grupuri sanitare</t>
  </si>
  <si>
    <t>5.5</t>
  </si>
  <si>
    <t>Usi interioare  din PVC pentru zona bucatarie , calcatorie</t>
  </si>
  <si>
    <t>5.6</t>
  </si>
  <si>
    <t>Fereastra din aluminiu cu geam simplu (la CT)</t>
  </si>
  <si>
    <t>5.7</t>
  </si>
  <si>
    <t>Usa din aluminiu cu geam termopan si bariera termica (CT)</t>
  </si>
  <si>
    <t>5.8</t>
  </si>
  <si>
    <t>Glafuri exterioare din tabla la ferestre – latime 25 cm</t>
  </si>
  <si>
    <t>5.9</t>
  </si>
  <si>
    <t>Glafuri interioare din material compozit</t>
  </si>
  <si>
    <t>5.10</t>
  </si>
  <si>
    <t>Confectii metalice – balustrazi la rampa si scari, incl. grunduire si vopsire</t>
  </si>
  <si>
    <t>5.11</t>
  </si>
  <si>
    <t>Geam 3 mm grosime procurare si montare</t>
  </si>
  <si>
    <t>5.12</t>
  </si>
  <si>
    <t>Aparat electric de actionat fereastra la distanta (incl.telecomanda si racord electric)</t>
  </si>
  <si>
    <t>TAVANE</t>
  </si>
  <si>
    <t>6.1</t>
  </si>
  <si>
    <t>Tavan gips carton pe structura metalica cu termoizolatie din vata minerala 10 cm grosime protejat cu folie PVC si podina din scandura de brad</t>
  </si>
  <si>
    <t>ZUGRAVELI VOPSITORII</t>
  </si>
  <si>
    <t>7.1</t>
  </si>
  <si>
    <t>Vopsitorii in ulei pe tamplarie de lemn</t>
  </si>
  <si>
    <t>7.2</t>
  </si>
  <si>
    <t>Vopsitorii in ulei la pereti</t>
  </si>
  <si>
    <t>7.3</t>
  </si>
  <si>
    <t>Zugraveli interioare lavabile la pereti si tavane</t>
  </si>
  <si>
    <t>7.4</t>
  </si>
  <si>
    <t>Vopsitorii in ulei -pazii</t>
  </si>
  <si>
    <t>7.5</t>
  </si>
  <si>
    <t>Mana curenta din lemn -lacuita</t>
  </si>
  <si>
    <t>7.6</t>
  </si>
  <si>
    <t>Vopsitorii balustrazi si confectii</t>
  </si>
  <si>
    <t>LUCRARI EXTERIOARE</t>
  </si>
  <si>
    <t>8.1</t>
  </si>
  <si>
    <t>Trotuare din beton simplu de 12 cm grosime pe un strat de nisip de 5 cm grosime si cu un strat de balast de 10 cm grosime</t>
  </si>
  <si>
    <t>8.2</t>
  </si>
  <si>
    <t>Balast 10 cm asternere, procurare, compactare, transport</t>
  </si>
  <si>
    <t>8.3</t>
  </si>
  <si>
    <t>Nisip 5 cm grosime asternere, procurare, compactare, transport</t>
  </si>
  <si>
    <t>8.4</t>
  </si>
  <si>
    <t>Finisaj rampa din beton l=1,2 m</t>
  </si>
  <si>
    <t>ml</t>
  </si>
  <si>
    <t>8.5</t>
  </si>
  <si>
    <t xml:space="preserve">Balustrada metalica laterala din teava vopsita </t>
  </si>
  <si>
    <t>9. LUCRARI SPECIALE</t>
  </si>
  <si>
    <t>Lucrari aferente montajului ascensorului de alimente (moncharge 150kg)</t>
  </si>
  <si>
    <t>Total (euro)</t>
  </si>
  <si>
    <r>
      <t xml:space="preserve">Spart beton in pardoseala  </t>
    </r>
    <r>
      <rPr>
        <sz val="10"/>
        <color indexed="10"/>
        <rFont val="Arial"/>
        <family val="2"/>
      </rPr>
      <t xml:space="preserve">si structuri </t>
    </r>
    <r>
      <rPr>
        <sz val="11"/>
        <color theme="1"/>
        <rFont val="Calibri"/>
        <family val="2"/>
        <scheme val="minor"/>
      </rPr>
      <t>grosime,evacuare, incarcare in auto si transport la depozit, taxa moloz</t>
    </r>
  </si>
  <si>
    <t>2. PARDOSELI COTA +/- 0,00</t>
  </si>
  <si>
    <t>Cofraje pentru beton in fundatii si elevatii, placa subsol</t>
  </si>
  <si>
    <t>Camasuieli la fundatii</t>
  </si>
  <si>
    <t>Subzidiri fundatii</t>
  </si>
  <si>
    <t>Termoizolatie polistiren extrudat 5 cm grosime la centuri (in exterior)</t>
  </si>
  <si>
    <t>TOTAL</t>
  </si>
  <si>
    <t>LISTA EVALUARE</t>
  </si>
  <si>
    <t>ARHITECTURA</t>
  </si>
  <si>
    <t>nr. crt.</t>
  </si>
  <si>
    <t>Denumire lucrare</t>
  </si>
  <si>
    <t>DESFACERI, DEMOLARI</t>
  </si>
  <si>
    <r>
      <t>Desfacere pardoseli din</t>
    </r>
    <r>
      <rPr>
        <sz val="10"/>
        <color indexed="10"/>
        <rFont val="Arial"/>
        <family val="2"/>
      </rPr>
      <t xml:space="preserve"> gresie</t>
    </r>
    <r>
      <rPr>
        <sz val="11"/>
        <color theme="1"/>
        <rFont val="Calibri"/>
        <family val="2"/>
        <scheme val="minor"/>
      </rPr>
      <t>, evacuare si transport in depozit</t>
    </r>
  </si>
  <si>
    <r>
      <t>Desfacere pardoseli din</t>
    </r>
    <r>
      <rPr>
        <sz val="10"/>
        <color indexed="10"/>
        <rFont val="Arial"/>
        <family val="2"/>
      </rPr>
      <t xml:space="preserve"> parchet</t>
    </r>
    <r>
      <rPr>
        <sz val="11"/>
        <color theme="1"/>
        <rFont val="Calibri"/>
        <family val="2"/>
        <scheme val="minor"/>
      </rPr>
      <t>, evacuare si transport in depozit</t>
    </r>
  </si>
  <si>
    <t>Desfacere pardoseli din covor PVC. evacuare, incarcare in auto si transport la depozit, taxa moloz</t>
  </si>
  <si>
    <r>
      <t>Desfaceri invelitori din</t>
    </r>
    <r>
      <rPr>
        <sz val="10"/>
        <color indexed="10"/>
        <rFont val="Arial"/>
        <family val="2"/>
      </rPr>
      <t xml:space="preserve"> tabla</t>
    </r>
    <r>
      <rPr>
        <sz val="11"/>
        <color theme="1"/>
        <rFont val="Calibri"/>
        <family val="2"/>
        <scheme val="minor"/>
      </rPr>
      <t xml:space="preserve">, transport in depozit, </t>
    </r>
  </si>
  <si>
    <r>
      <t>Desfacere (demontare</t>
    </r>
    <r>
      <rPr>
        <sz val="10"/>
        <color indexed="10"/>
        <rFont val="Arial"/>
        <family val="2"/>
      </rPr>
      <t>) burlane si jgheabur</t>
    </r>
    <r>
      <rPr>
        <sz val="11"/>
        <color theme="1"/>
        <rFont val="Calibri"/>
        <family val="2"/>
        <scheme val="minor"/>
      </rPr>
      <t>i din tb. Zn., schela de lucru, transport in depozit</t>
    </r>
  </si>
  <si>
    <r>
      <t xml:space="preserve">Desfacere (demontare) </t>
    </r>
    <r>
      <rPr>
        <sz val="10"/>
        <color indexed="10"/>
        <rFont val="Arial"/>
        <family val="2"/>
      </rPr>
      <t>tamplarie</t>
    </r>
    <r>
      <rPr>
        <sz val="11"/>
        <color theme="1"/>
        <rFont val="Calibri"/>
        <family val="2"/>
        <scheme val="minor"/>
      </rPr>
      <t xml:space="preserve"> din  lemn usi ,ferestre, transport in depozit</t>
    </r>
  </si>
  <si>
    <r>
      <t>Desfacere tencuieli interioare la</t>
    </r>
    <r>
      <rPr>
        <sz val="10"/>
        <color indexed="10"/>
        <rFont val="Arial"/>
        <family val="2"/>
      </rPr>
      <t xml:space="preserve"> tavane pe rabit</t>
    </r>
    <r>
      <rPr>
        <sz val="11"/>
        <color theme="1"/>
        <rFont val="Calibri"/>
        <family val="2"/>
        <scheme val="minor"/>
      </rPr>
      <t xml:space="preserve"> inclusiv schela de lucru, evacuare, transport si taxa moloz</t>
    </r>
  </si>
  <si>
    <r>
      <t>Desfacere</t>
    </r>
    <r>
      <rPr>
        <sz val="10"/>
        <color indexed="10"/>
        <rFont val="Arial"/>
        <family val="2"/>
      </rPr>
      <t xml:space="preserve"> tencuieli interioare</t>
    </r>
    <r>
      <rPr>
        <sz val="11"/>
        <color theme="1"/>
        <rFont val="Calibri"/>
        <family val="2"/>
        <scheme val="minor"/>
      </rPr>
      <t xml:space="preserve"> la pereti inclusiv schela de lucru, evacuare, transport si taxa moloz</t>
    </r>
  </si>
  <si>
    <t>1.10</t>
  </si>
  <si>
    <r>
      <t xml:space="preserve">Desfacere </t>
    </r>
    <r>
      <rPr>
        <sz val="10"/>
        <color indexed="10"/>
        <rFont val="Arial"/>
        <family val="2"/>
      </rPr>
      <t>tencuieli exterioare</t>
    </r>
    <r>
      <rPr>
        <sz val="11"/>
        <color theme="1"/>
        <rFont val="Calibri"/>
        <family val="2"/>
        <scheme val="minor"/>
      </rPr>
      <t xml:space="preserve"> la pereti si soclu inclusiv schela de lucru, evacuare, transport si taxa moloz</t>
    </r>
  </si>
  <si>
    <t>1.11</t>
  </si>
  <si>
    <r>
      <t>Demolare ziduri din</t>
    </r>
    <r>
      <rPr>
        <sz val="10"/>
        <color indexed="10"/>
        <rFont val="Arial"/>
        <family val="2"/>
      </rPr>
      <t xml:space="preserve"> caramida </t>
    </r>
    <r>
      <rPr>
        <sz val="11"/>
        <color theme="1"/>
        <rFont val="Calibri"/>
        <family val="2"/>
        <scheme val="minor"/>
      </rPr>
      <t>pentru creare de goluri, evacuare, incarcare in auto, transport, taxa moloz</t>
    </r>
  </si>
  <si>
    <t>1.12</t>
  </si>
  <si>
    <r>
      <t xml:space="preserve">Demolare ziduri din </t>
    </r>
    <r>
      <rPr>
        <sz val="10"/>
        <color indexed="10"/>
        <rFont val="Arial"/>
        <family val="2"/>
      </rPr>
      <t>caramida</t>
    </r>
    <r>
      <rPr>
        <sz val="11"/>
        <color theme="1"/>
        <rFont val="Calibri"/>
        <family val="2"/>
        <scheme val="minor"/>
      </rPr>
      <t xml:space="preserve"> pentru corectarea nivelului centurii, evacuare, incarcare in auto, transport, taxa moloz</t>
    </r>
  </si>
  <si>
    <t>1.13</t>
  </si>
  <si>
    <r>
      <t>Demolare zidarie</t>
    </r>
    <r>
      <rPr>
        <sz val="10"/>
        <color indexed="10"/>
        <rFont val="Arial"/>
        <family val="2"/>
      </rPr>
      <t xml:space="preserve"> cosuri de fum</t>
    </r>
    <r>
      <rPr>
        <sz val="11"/>
        <color theme="1"/>
        <rFont val="Calibri"/>
        <family val="2"/>
        <scheme val="minor"/>
      </rPr>
      <t>, evacuare, incarcare in auto, transport, taxa moloz</t>
    </r>
  </si>
  <si>
    <t>1.14</t>
  </si>
  <si>
    <r>
      <t xml:space="preserve">Desfaceri </t>
    </r>
    <r>
      <rPr>
        <sz val="10"/>
        <color indexed="10"/>
        <rFont val="Arial"/>
        <family val="2"/>
      </rPr>
      <t>cahle</t>
    </r>
    <r>
      <rPr>
        <sz val="11"/>
        <color theme="1"/>
        <rFont val="Calibri"/>
        <family val="2"/>
        <scheme val="minor"/>
      </rPr>
      <t xml:space="preserve"> teracota (sobe) inclusiv sortare,evacuarea, transport auto, taxa depozitare moloz</t>
    </r>
  </si>
  <si>
    <t>1.15</t>
  </si>
  <si>
    <t>Desfacere tavan fals din gips carton</t>
  </si>
  <si>
    <t>1.16</t>
  </si>
  <si>
    <t>Desfacere astereala din scandura incl.folia</t>
  </si>
  <si>
    <t>1.17</t>
  </si>
  <si>
    <t>Desfacere jardiniere</t>
  </si>
  <si>
    <t>1.18</t>
  </si>
  <si>
    <t>Desfaceri invelitoare la intrarea in subsol</t>
  </si>
  <si>
    <t>1.19</t>
  </si>
  <si>
    <t>Desfacere structura metalica de sustinere</t>
  </si>
  <si>
    <t>1.20</t>
  </si>
  <si>
    <t>Desfacere placaje de faianta</t>
  </si>
  <si>
    <t>2. PERETI, ZIDARII, COMPARTIMENTARI</t>
  </si>
  <si>
    <t>2.0</t>
  </si>
  <si>
    <t>Zidarie din BCA pentru umplere de goluri inclusiv preparare  si transport mortar, schela</t>
  </si>
  <si>
    <t>Zidarie din caramida GVP,ziduri noi si pentru umplere de goluri,inclusiv preparare , transport mortar</t>
  </si>
  <si>
    <t>Pereti gipscarton de 12,5 cm grosime inclusiv structura metalica CU/CW 75 cu cate 2 placi RBI pe fiecare parte, placile avand 12,5 mm grosime, termoizolatie din vata minerala de 5 cm grosime.Articolul cuprinde si materialele adiacente (suruburi,chit,folie</t>
  </si>
  <si>
    <t xml:space="preserve">Eliminare igrasie din ziduri  prin metoda COMER sau ULTRACURE </t>
  </si>
  <si>
    <t>Consolidare zidarie prin camasuieli si injectari</t>
  </si>
  <si>
    <t>Alte chelt adiacente</t>
  </si>
  <si>
    <t>3. INVELITOARE</t>
  </si>
  <si>
    <r>
      <t xml:space="preserve">Astereala din </t>
    </r>
    <r>
      <rPr>
        <sz val="10"/>
        <color indexed="10"/>
        <rFont val="Arial"/>
        <family val="2"/>
      </rPr>
      <t xml:space="preserve">OSB </t>
    </r>
    <r>
      <rPr>
        <sz val="11"/>
        <color theme="1"/>
        <rFont val="Calibri"/>
        <family val="2"/>
        <scheme val="minor"/>
      </rPr>
      <t>sub invelitoare inclusiv sipcile orizontale si verticale</t>
    </r>
  </si>
  <si>
    <t xml:space="preserve">Invelitoare din tabla LINDAB sau similar inclusiv accesoriile (coame, dolii,pazii, parazapezi, ventilatii,etc) </t>
  </si>
  <si>
    <t>3.2.1</t>
  </si>
  <si>
    <t>Folie antivant TYWEK</t>
  </si>
  <si>
    <t>Stresina infundata din lemn, tratata ignifug si antiseptic, vopsita 60cm lat- inlocuiri partiale</t>
  </si>
  <si>
    <t>Pazie din lemn, tratata ignifug si antiseptic, vopsita 20cm latime -  inlocuiri partiale</t>
  </si>
  <si>
    <t>Jgheaburi din tb.zn.18cm</t>
  </si>
  <si>
    <r>
      <t xml:space="preserve">Burlane din tb.zn. </t>
    </r>
    <r>
      <rPr>
        <sz val="10"/>
        <rFont val="Arial"/>
        <family val="2"/>
      </rPr>
      <t>Ø</t>
    </r>
    <r>
      <rPr>
        <sz val="11"/>
        <color theme="1"/>
        <rFont val="Calibri"/>
        <family val="2"/>
        <scheme val="minor"/>
      </rPr>
      <t>12cm</t>
    </r>
  </si>
  <si>
    <t>Termoizolatie din polistiren 5  cm grosime</t>
  </si>
  <si>
    <t>Bariera de vapori din folie PE</t>
  </si>
  <si>
    <t>Strat de difuzie din folie PE</t>
  </si>
  <si>
    <t>Chepeng acces pod</t>
  </si>
  <si>
    <t>Scara metalica acces pod</t>
  </si>
  <si>
    <t>Tabachere</t>
  </si>
  <si>
    <t>Tavan fals</t>
  </si>
  <si>
    <t>3.15</t>
  </si>
  <si>
    <t>Folie de saparatie</t>
  </si>
  <si>
    <t>3.16</t>
  </si>
  <si>
    <t>Cos de fum Schiedel 12 m</t>
  </si>
  <si>
    <t>3.17</t>
  </si>
  <si>
    <t>Podina tehnologica din dulapi de 36 mm grosime</t>
  </si>
  <si>
    <t>4.TAMPLARII</t>
  </si>
  <si>
    <t>Ferestre exterioare -PVC cu geam termopan si bariera termica</t>
  </si>
  <si>
    <t>Usi exterioare --PVC cu geam termopan si bariera termica</t>
  </si>
  <si>
    <t>Usi interioare din PVC - cu geam simplu sau pline</t>
  </si>
  <si>
    <t>Luminatoare policarbonat incl.structura si mat.adiacente</t>
  </si>
  <si>
    <t>Glafuri exterioare din aluminiu prevopsit, 20 cm latime</t>
  </si>
  <si>
    <t>Glafuri interioare din PVC de, 30 cm latime</t>
  </si>
  <si>
    <t>Balustrazi metalice noi la rampa pt.pers.cu handicap, podeste intrare, inclusiv confectionare, transport, vopsire incl. mana curenta inclusiv panouri protectie si mana curenta</t>
  </si>
  <si>
    <t>Balustrada metalica inox protectie la ferestre si terasa</t>
  </si>
  <si>
    <t>Ferestre interioare fixe</t>
  </si>
  <si>
    <t>Ferestre interioare mobile</t>
  </si>
  <si>
    <t>4.11</t>
  </si>
  <si>
    <t>Usa exterioara din AL la CT</t>
  </si>
  <si>
    <t>4.12</t>
  </si>
  <si>
    <t>Fereastra exterioara din AL la CT</t>
  </si>
  <si>
    <t>4.13</t>
  </si>
  <si>
    <t>Usa metalica exterioara</t>
  </si>
  <si>
    <t>5. PARDOSELI</t>
  </si>
  <si>
    <r>
      <t xml:space="preserve">Pardoseli din </t>
    </r>
    <r>
      <rPr>
        <sz val="10"/>
        <color indexed="10"/>
        <rFont val="Arial"/>
        <family val="2"/>
      </rPr>
      <t xml:space="preserve">parchet </t>
    </r>
    <r>
      <rPr>
        <sz val="11"/>
        <color theme="1"/>
        <rFont val="Calibri"/>
        <family val="2"/>
        <scheme val="minor"/>
      </rPr>
      <t xml:space="preserve"> trafic intens inclusiv materiale adiacente, inclusiv plintele  -Sali de grupa -reparatii+slefuire si inlocuire</t>
    </r>
  </si>
  <si>
    <t>Pardoseli din granitogress  inclusiv mortarul de lipire si chitul de rostuire  la coridoare, holuri, podeste, scari, inclusiv plintele</t>
  </si>
  <si>
    <t>Pardoseli din gresie inclusiv mortarul de lipire si chitul de rostuire  la grupurile sociale inclusiv plintele</t>
  </si>
  <si>
    <t>Strat suport pardoseli din mortar M100T 3 cm grosime, inclusiv preparare si transport</t>
  </si>
  <si>
    <t>Sapa autonivelanta 5mm grosime</t>
  </si>
  <si>
    <t xml:space="preserve">Placaj din faianta la grupurile sociale, inclusiv mortarul de lipire si chitul de rostuire  </t>
  </si>
  <si>
    <t>Strat termoizolant din polistiren extrudat de 5cm grosime</t>
  </si>
  <si>
    <t>Folie din polietilena- strat de separare peste strat filtrant</t>
  </si>
  <si>
    <t>Sapa slab armata  5cm grosime , mortar M100T,plasa sudata Ø4 -100/100 mm 2,2 kg/mp, inclusiv preparare , transport</t>
  </si>
  <si>
    <t xml:space="preserve">Hidroizolatie tip Drizoro la grupuri sanitare </t>
  </si>
  <si>
    <t xml:space="preserve">Folie din polietilena- strat de separare </t>
  </si>
  <si>
    <t>Polistiren extrudat 3cm gros Et. I si II</t>
  </si>
  <si>
    <t>Hidroizolatie membrana terasa necirculabila</t>
  </si>
  <si>
    <t xml:space="preserve">Termoizolatie terasa cu polistiren </t>
  </si>
  <si>
    <t>Sapa suport si protectia termoizolatie</t>
  </si>
  <si>
    <t>Parapeti din plasa de sarma incl.prindere</t>
  </si>
  <si>
    <t>Strat de nisip</t>
  </si>
  <si>
    <t xml:space="preserve">Pardoseli din covor PVC </t>
  </si>
  <si>
    <t>Pardoseli din parchet noi</t>
  </si>
  <si>
    <t>Reconditionare covor PVC</t>
  </si>
  <si>
    <t>6. TENCUIELI INTERIOARE SI EXTERIOARE</t>
  </si>
  <si>
    <t>Tenciueli interioare la pereti pe zidarie din caramida sau beton cu mortar de var-ciment M 25-T inclusiv schela de lucru, preparare si transport mortar</t>
  </si>
  <si>
    <t>Tenciueli interioare in jurul tocurilor la ferestre si usi executate cu mortar de var-ciment M 25-T inclusiv  preparare si transport mortar, schela de lucru, profile de colt</t>
  </si>
  <si>
    <t>Tenciueli interioare la tavane cu mortar de var-ciment M 25-T inclusiv schela de lucru, preparare si transport mortar</t>
  </si>
  <si>
    <t>Get de ipsos la pereti si tavane inclusiv schela de lucru,</t>
  </si>
  <si>
    <t>Tencuieli exterioare structurate aplicate peste structura termosistemului grund si strat vizibil, inclusiv schela de lucru</t>
  </si>
  <si>
    <t>Tencuieli exterioare la soclu cu similipiatra  inclusiv plasa de protectie peste termoizolatie</t>
  </si>
  <si>
    <t>Termosistem la fatada executat cu polistiren de 10 cm grosime inclusiv piese de fixare si adeziv de lipire, plasa din fibra de sticla, profile speciale de sustinere si delimitare, inclusiv schela de lucru</t>
  </si>
  <si>
    <t>Tavan fals gips carton peste termoizolatie planseu et.I si II</t>
  </si>
  <si>
    <t>7. ZUGRAVELI , VOPSITORII</t>
  </si>
  <si>
    <t>Vopsitorii interioare executate cu vopsea lavabila inclusiv schela de lucru</t>
  </si>
  <si>
    <t>Vopsitorii exterioare, inclusiv schela de lucru</t>
  </si>
  <si>
    <t>Vopsitorii cu vopsea pentru lemn la streasini si pazii, inclusiv schela de lucru</t>
  </si>
  <si>
    <t>8. LUCRARI EXTERIOARE , DIVERSE</t>
  </si>
  <si>
    <t>Trotuare din b.s. C8/10 12 cm grosime, pe un strat de nisip de 5 cm grosime  si un strat filtrant de balast  de 10 cm grosime , folie PE cu rol de separare, transportul balastului, nisipului, prepararea si transportul betonului, tratarea rosturilor</t>
  </si>
  <si>
    <t>Confectii metalice diverse , procurare, transport, montare, grunduire</t>
  </si>
  <si>
    <t>Vopsitorii confectii metalice</t>
  </si>
  <si>
    <t>Rampa pers. Cu handicap- finisaje</t>
  </si>
  <si>
    <r>
      <t>Nota:</t>
    </r>
    <r>
      <rPr>
        <sz val="8"/>
        <color indexed="8"/>
        <rFont val="Times New Roman"/>
        <family val="1"/>
      </rPr>
      <t xml:space="preserve"> Articolele cotate vor cuprinde toate operatiile necesare efectuarii lucrarilor – procurari materiale, preparari, transporturi, prelucrari, punere in opera, utilaje si echipamente de lucru, schele mobile si fixe, macarale, automacarale, etc.</t>
    </r>
  </si>
  <si>
    <t>INSTALATII INTERIOARE</t>
  </si>
  <si>
    <t>Descriere lucrare</t>
  </si>
  <si>
    <t>U.M.</t>
  </si>
  <si>
    <t>Instalatii sanitare interioare</t>
  </si>
  <si>
    <t>Instalatii electrice interioare</t>
  </si>
  <si>
    <t>Instalatii termice interioare</t>
  </si>
  <si>
    <t>Instalatii gaz interioare</t>
  </si>
  <si>
    <t>Instalatii ventilatie</t>
  </si>
  <si>
    <t>Instalatie supraveghere  video</t>
  </si>
  <si>
    <t xml:space="preserve">Instalatie avertizare incendiu </t>
  </si>
  <si>
    <t>Instalatie avertizare incendiu + instalatie incendiu</t>
  </si>
  <si>
    <t>Instalatie hidranti interiori</t>
  </si>
  <si>
    <t>Lista evaluare lucrari constructii</t>
  </si>
  <si>
    <t xml:space="preserve">LISTA EVALUARE </t>
  </si>
  <si>
    <t>Instalatie hidranti</t>
  </si>
  <si>
    <t>EVALUARE</t>
  </si>
  <si>
    <t>RETELE exterioare</t>
  </si>
  <si>
    <t>Retele electrice</t>
  </si>
  <si>
    <t>1.1.1</t>
  </si>
  <si>
    <t xml:space="preserve">Cabluri si conductori electrici </t>
  </si>
  <si>
    <t>1.1.2</t>
  </si>
  <si>
    <t>Umpluturi  nisip</t>
  </si>
  <si>
    <t>1.1.3</t>
  </si>
  <si>
    <t xml:space="preserve">Umpluturi manuale -imprastiere- compactarea manuala </t>
  </si>
  <si>
    <t xml:space="preserve">Retele de apa </t>
  </si>
  <si>
    <t>Teava PEHD Pn10 Dn 40mm</t>
  </si>
  <si>
    <t>Camin vane,  capac si rama din fonta</t>
  </si>
  <si>
    <t>Hidrant exterior, incl piesa si teava racord Dn65</t>
  </si>
  <si>
    <t>1.1.4</t>
  </si>
  <si>
    <t>Cismea</t>
  </si>
  <si>
    <t>1.1.5</t>
  </si>
  <si>
    <t>1.1.6</t>
  </si>
  <si>
    <t>1.1.7</t>
  </si>
  <si>
    <t>Umplutura de nisip -pozare conducta</t>
  </si>
  <si>
    <t>Retele canal</t>
  </si>
  <si>
    <t>Conducta PVC KG Dn 200mm</t>
  </si>
  <si>
    <t>Camin vizitare h=2m,  capac si rama din fonta</t>
  </si>
  <si>
    <t>1.4</t>
  </si>
  <si>
    <t>Retea utilizare gaz -</t>
  </si>
  <si>
    <t>1.4.1</t>
  </si>
  <si>
    <t>1.4.2</t>
  </si>
  <si>
    <t>1.4.3</t>
  </si>
  <si>
    <t>Teava PEHD pentru gaz Dn 32mm</t>
  </si>
  <si>
    <t>1.4.4</t>
  </si>
  <si>
    <t>Robinet de gaz Dn 32</t>
  </si>
  <si>
    <t>1.4.5</t>
  </si>
  <si>
    <t>Raiser Dn32 mm</t>
  </si>
  <si>
    <t>1.4.6</t>
  </si>
  <si>
    <t>Teava protectie OL Dn 100mm</t>
  </si>
  <si>
    <t xml:space="preserve">                                                       Intocmit</t>
  </si>
  <si>
    <t xml:space="preserve"> TEREN JOACA SI SPORT</t>
  </si>
  <si>
    <t xml:space="preserve">Teren de sport </t>
  </si>
  <si>
    <t xml:space="preserve">Sapatura manuala </t>
  </si>
  <si>
    <t>Incarcare in auto</t>
  </si>
  <si>
    <t>Transport auto</t>
  </si>
  <si>
    <t>Strat de balast 20 cm grosime</t>
  </si>
  <si>
    <t>Balast stabilizat 20 cm grosime (preparare, transport, turnare)</t>
  </si>
  <si>
    <t>Beton asfaltic 8 cm grosime (preparare, transport, turnare)</t>
  </si>
  <si>
    <t>Strat de uzura din rasina poliuretanica si granule EPDM</t>
  </si>
  <si>
    <t>Strat de baza 25 mm grosime din rasina poliuretanica si granule de cauciuc</t>
  </si>
  <si>
    <t>Borduri 10x15 cm din beton incl.fundatia din beton C8/10 de 20x30cm+mortar de rost (preparare, tr, turnare)</t>
  </si>
  <si>
    <t>Beton C8/10 in fundatie stalpi de baschet (preparare, transport, turnare)</t>
  </si>
  <si>
    <t>Stalp metalic pentru baschet (incl.panoul si cosul)</t>
  </si>
  <si>
    <t>Trasare teren de bascchet</t>
  </si>
  <si>
    <t>2.4</t>
  </si>
  <si>
    <t xml:space="preserve">Teren de joaca  </t>
  </si>
  <si>
    <t>2.4.1</t>
  </si>
  <si>
    <t>2.4.2</t>
  </si>
  <si>
    <t>2.4.3</t>
  </si>
  <si>
    <t>2.4.4</t>
  </si>
  <si>
    <t>Strat de balast 10 cm grosime</t>
  </si>
  <si>
    <t>2.4.5</t>
  </si>
  <si>
    <t>Balast stabilizat 10 cm grosime (preparare, transport, turnare)</t>
  </si>
  <si>
    <t>2.4.6</t>
  </si>
  <si>
    <t>2.4.7</t>
  </si>
  <si>
    <t>Borduri elastice cu picioruse 50x16 cm asezate pe nisip (proc.tr.nisip)</t>
  </si>
  <si>
    <t>2.4.8</t>
  </si>
  <si>
    <t>SISTEMATIZARE VERTICALA SI SPATII VERZI, IMPREJMUIRE</t>
  </si>
  <si>
    <t xml:space="preserve">Sistematizare verticala </t>
  </si>
  <si>
    <t>Sapatura mecanica cu buldozerul si excavatorul, strat vegetal si teren necorespunzator</t>
  </si>
  <si>
    <t>Incarcare in auto cu excavatorul sau incarcatorul frontal</t>
  </si>
  <si>
    <t>Transport auto pamant vegetal</t>
  </si>
  <si>
    <t>Sapatura mecanica cu excavatorul si buldozerul, incarcare auto, imprastiere, nivelare</t>
  </si>
  <si>
    <t>Cilindare (compactare mecanica)</t>
  </si>
  <si>
    <t>Umplutura din balast</t>
  </si>
  <si>
    <t xml:space="preserve">Spatii verzi  </t>
  </si>
  <si>
    <t>Nivelare manuala teren</t>
  </si>
  <si>
    <t>smp</t>
  </si>
  <si>
    <t>Amenajare spatii verzi (inierbare, plantare pomi, plantare garduri vii)</t>
  </si>
  <si>
    <t>Reabilitare imprejmuire existenta</t>
  </si>
  <si>
    <t>3.1.1</t>
  </si>
  <si>
    <t>3.1.2</t>
  </si>
  <si>
    <t>Poarta si portita acces auto si pietonal- reabilitare</t>
  </si>
  <si>
    <t>3.1.3</t>
  </si>
  <si>
    <t>PLATFORME BETONATE</t>
  </si>
  <si>
    <t xml:space="preserve">Drumuri, alei, platforme, parcari </t>
  </si>
  <si>
    <t>Umplutura de balast 15 cm grosime</t>
  </si>
  <si>
    <t>Strat beton 15 cm grosime pentru platforme (preparare, transport, turnare, vibrare)</t>
  </si>
  <si>
    <t>Borduri delimitare, incl.betonul ptr. Pozare C8/10, mortar de rost M100T</t>
  </si>
  <si>
    <t>Balast</t>
  </si>
  <si>
    <t>Sapatura manuala</t>
  </si>
  <si>
    <t>PLATFORME DALATE</t>
  </si>
  <si>
    <t xml:space="preserve">Platforme dalate </t>
  </si>
  <si>
    <t>Umplutura de nisip 5 cm grosime</t>
  </si>
  <si>
    <t>Pavale din dale tip T (autoblocante) de 6 cm grosime asezate pe un strat de nisip de 5 cm grosime</t>
  </si>
  <si>
    <t>PLATFORME PSI+PGI</t>
  </si>
  <si>
    <t xml:space="preserve">Nivelare manuala </t>
  </si>
  <si>
    <t>Asternere strat balast</t>
  </si>
  <si>
    <t>Strat beton 15 cm gros.</t>
  </si>
  <si>
    <t>Borduri</t>
  </si>
  <si>
    <t>Imprejmuire si porti pe stalpi metalici H=1m, inclusiv poarta</t>
  </si>
  <si>
    <t>Alte cheltuieli (vopsitorii, etc..)</t>
  </si>
  <si>
    <t>BRANSAMENTE</t>
  </si>
  <si>
    <t>Bransament electric- aerian -proiect ELECTRICA -cantitati estimative</t>
  </si>
  <si>
    <t>Firida bransare</t>
  </si>
  <si>
    <t>Tevi protectie OL si PVC</t>
  </si>
  <si>
    <t>Taxa bransare</t>
  </si>
  <si>
    <t>Bransament apa</t>
  </si>
  <si>
    <t>1.2.1</t>
  </si>
  <si>
    <t>Spargere beton rutier</t>
  </si>
  <si>
    <t>1.2.2</t>
  </si>
  <si>
    <t>1.2.3</t>
  </si>
  <si>
    <t>1.2.4</t>
  </si>
  <si>
    <t>1.2.5</t>
  </si>
  <si>
    <t>Teava PEHD Pn10 Dn 50mm, roboneti</t>
  </si>
  <si>
    <t>1.2.6</t>
  </si>
  <si>
    <t>Camin de bransase,1,0x1,0x1,5m capac si rama din fonta</t>
  </si>
  <si>
    <t>1.2.7</t>
  </si>
  <si>
    <t>Sa de bransare PEHD Pn10 Dn40/        mm</t>
  </si>
  <si>
    <t>1.2.9</t>
  </si>
  <si>
    <t>Incarcare pamant in auto</t>
  </si>
  <si>
    <t>1.2.10</t>
  </si>
  <si>
    <t>1.2.11</t>
  </si>
  <si>
    <t>1.2.12</t>
  </si>
  <si>
    <t>Set bransare-robinet filtru</t>
  </si>
  <si>
    <t>1.2.13</t>
  </si>
  <si>
    <t>1.2.14</t>
  </si>
  <si>
    <t>Refacere carosabil</t>
  </si>
  <si>
    <t>1.3</t>
  </si>
  <si>
    <t>Bransament canal</t>
  </si>
  <si>
    <t>1.3.1</t>
  </si>
  <si>
    <t>1.3.2</t>
  </si>
  <si>
    <t>1.3.3</t>
  </si>
  <si>
    <t>1.3.4</t>
  </si>
  <si>
    <t>1.3.5</t>
  </si>
  <si>
    <t>Teava PVC KG  Dn 200mm</t>
  </si>
  <si>
    <t>1.3.6</t>
  </si>
  <si>
    <t>Camin din beton pentru racord canal,1,0x1,0x1,6m, capac si rama din fonta</t>
  </si>
  <si>
    <t>1.3.7</t>
  </si>
  <si>
    <t xml:space="preserve">Sa racord canalizare Dn 200 </t>
  </si>
  <si>
    <t>1.3.8</t>
  </si>
  <si>
    <t>1.3.9</t>
  </si>
  <si>
    <t>1.3.10</t>
  </si>
  <si>
    <t>1.3.11</t>
  </si>
  <si>
    <t>1.3.12</t>
  </si>
  <si>
    <t>Bransament gaz - EON GAZ- cantitati estimative</t>
  </si>
  <si>
    <t>Teava PEHD pentru gaz Dn 60mm</t>
  </si>
  <si>
    <t>Raiser Dn60 mm</t>
  </si>
  <si>
    <t>Sa bransare Dn 60 mm</t>
  </si>
  <si>
    <t>Firida de gaz, incl regulator</t>
  </si>
  <si>
    <t>Taxa de bransare</t>
  </si>
  <si>
    <t>Robinet de gaz Dn 60</t>
  </si>
  <si>
    <t>4.14</t>
  </si>
  <si>
    <t>Teava protectie OL Dn 150mm</t>
  </si>
  <si>
    <t>4.15</t>
  </si>
  <si>
    <t>4.16</t>
  </si>
  <si>
    <t>14.02.2017</t>
  </si>
  <si>
    <t>Instalatie de ventilare</t>
  </si>
  <si>
    <t>Teren de joaca</t>
  </si>
  <si>
    <t>MONTAJ UTILAJE pentru CENTRALA TERMICA</t>
  </si>
  <si>
    <t>Nr.</t>
  </si>
  <si>
    <t>crt.</t>
  </si>
  <si>
    <t>Montaj utilaj si echipamente aferent CT</t>
  </si>
  <si>
    <t>MONTAJ UTILAJE INSTALATII PANOURI SOLARE</t>
  </si>
  <si>
    <t>Montaj instalatie panouri solare</t>
  </si>
  <si>
    <t>TOTAL (lei)</t>
  </si>
  <si>
    <t>Valoare Lei</t>
  </si>
  <si>
    <t>Valoare LEI</t>
  </si>
  <si>
    <t>Pret lei/UM</t>
  </si>
  <si>
    <t>Total (lei)</t>
  </si>
  <si>
    <t>Valoare lei</t>
  </si>
  <si>
    <t>LEI</t>
  </si>
  <si>
    <t>MONTAJ UTILAJ</t>
  </si>
  <si>
    <t>Anexa nr.8</t>
  </si>
  <si>
    <t>SC CONMID PROIECT SRL</t>
  </si>
  <si>
    <t xml:space="preserve">la H.G. 907/2016 </t>
  </si>
  <si>
    <t>Valoare                    fără TVA</t>
  </si>
  <si>
    <t>Valoare         cu TVA</t>
  </si>
  <si>
    <t>lei</t>
  </si>
  <si>
    <t>Cap.4 -Cheltuieli pentru investiția de bază</t>
  </si>
  <si>
    <t>4.1*</t>
  </si>
  <si>
    <t xml:space="preserve">Construcții și instalații </t>
  </si>
  <si>
    <t>4.1.1</t>
  </si>
  <si>
    <t>4.1.1.1 Rezistență</t>
  </si>
  <si>
    <t>4.1.1.2 Arhitectură</t>
  </si>
  <si>
    <t>4.1.1.3 Instalații</t>
  </si>
  <si>
    <t>TOTAL I -subcapitol 4.1.1</t>
  </si>
  <si>
    <t>4.1.2</t>
  </si>
  <si>
    <t>4.1.2.1. Rezistență</t>
  </si>
  <si>
    <t>4.1.2.2. Arhitectură</t>
  </si>
  <si>
    <t>4.1.2.3. Instalații</t>
  </si>
  <si>
    <t>TOTAL II -subcapitol 4.1.2</t>
  </si>
  <si>
    <t>Montaj utilaje, echipamente tehnologice și funcționale</t>
  </si>
  <si>
    <t>TOTAL II -subcapitol 4.2</t>
  </si>
  <si>
    <t>Utilaje, echipamente tehnologice și funcționale care necesită montaj</t>
  </si>
  <si>
    <t>Active necorporale</t>
  </si>
  <si>
    <t>TOTAL III -subcapitol 4.3+4.4+4.5+4.6</t>
  </si>
  <si>
    <t>TOTAL (TOTAL I+TOTAL II+TOTAL III)</t>
  </si>
  <si>
    <t>Întocmit,</t>
  </si>
  <si>
    <t>*</t>
  </si>
  <si>
    <t xml:space="preserve">În cadrul subcap. 4.1 - Construcţii şi instalaţiile aferente acestora, categoriile de lucrări se detaliază de către proiectant pe domenii/subdomenii de construcţii şi specialităţi de instalaţii, în funcţie de tipul şi specificul obiectului.
</t>
  </si>
  <si>
    <t>Anexa nr.7</t>
  </si>
  <si>
    <t xml:space="preserve">DEVIZ GENERAL </t>
  </si>
  <si>
    <t>al obiectului de investiții</t>
  </si>
  <si>
    <t>Valoare *1)                   (fără TVA)</t>
  </si>
  <si>
    <t>1.2.1. Demolări</t>
  </si>
  <si>
    <t>1.2.1. Sistematizare verticală</t>
  </si>
  <si>
    <t>1.2.2. Drumuri, alei, platforme</t>
  </si>
  <si>
    <t>Amenajări pentru protecța mediului și aducerea terenului la starea inițială</t>
  </si>
  <si>
    <t>Cheltuieli pentru relocare/protecția utilităților</t>
  </si>
  <si>
    <t>Studii</t>
  </si>
  <si>
    <t>3.1.1. Studii de teren</t>
  </si>
  <si>
    <t>3.1.2. Raport privind impactul asupra mediului</t>
  </si>
  <si>
    <t>3.1.3. Alte studii specifice</t>
  </si>
  <si>
    <t>Documentații -suport și cheltuieli pentru obținerea de avize, acorduri și autorizații</t>
  </si>
  <si>
    <t>Expertizare tehnică</t>
  </si>
  <si>
    <t>Certificarea performanței energetice și auditul energetic al clădirilor</t>
  </si>
  <si>
    <t>Proiectare</t>
  </si>
  <si>
    <t>3.5.1. Temă de proiectare</t>
  </si>
  <si>
    <t>3.5.2. Studiu de fezabilitate</t>
  </si>
  <si>
    <t>3.5.3. Studiu de fezabilitate/documentație de avizare a lucrărilor de intervenții și deviz general</t>
  </si>
  <si>
    <t>3.5.4. Documentațiile tehnice necesare în vederea obținerii avizelor/acordurilor/autorizațiilor</t>
  </si>
  <si>
    <t>3.5.5. Verificarea tehnică de calitate a proiectului tehnic și a detaliilor de execuție</t>
  </si>
  <si>
    <t>3.5..6. Proiect tehnic și detalii de execuție</t>
  </si>
  <si>
    <t>Organizarea procedurilor de achiziție</t>
  </si>
  <si>
    <t>Consultanță</t>
  </si>
  <si>
    <t>3.7.1. Managementul de proiect pentru obiectul de investiții</t>
  </si>
  <si>
    <t>3.7.2. Auditul financiar</t>
  </si>
  <si>
    <t>Asistență tehnică</t>
  </si>
  <si>
    <t>3.8.1. Asistență tehnică din partea proiectantului</t>
  </si>
  <si>
    <t>3.8.1.1. pe perioada de execuție a lucrărilor</t>
  </si>
  <si>
    <t>3.8.1.2. pentru participarea proiectantului la fazele incluse în programul de control al lucrărilor de execuție, avizat de către ISC</t>
  </si>
  <si>
    <t>3.8.2. Dirigenție de șantier</t>
  </si>
  <si>
    <t>Construcții și instalații</t>
  </si>
  <si>
    <t>4.1.1. Construcții și instalații corp cladire noua</t>
  </si>
  <si>
    <t>4.1.1. Construcții și instalații corp cladire existenta</t>
  </si>
  <si>
    <t>4.1.2. Teren sport</t>
  </si>
  <si>
    <t>4.1.2. Teren joacă</t>
  </si>
  <si>
    <t>4.1.3. Împrejmuiri și porți</t>
  </si>
  <si>
    <t>Utilaje, echipamente tehnologice și funcționale care nu necesită montaj și echipamente de transport</t>
  </si>
  <si>
    <t>5.1.1 Lucrări de construcții și instalații aferente organizării de șantier</t>
  </si>
  <si>
    <t>5.1.2 Cheltuieli conexe organizării de șantier</t>
  </si>
  <si>
    <t>Comisioane, cote, taxe, costul creditului</t>
  </si>
  <si>
    <t>5.2.1. Comisioanele și dobânzile aferente creditului băncii finanțatoare</t>
  </si>
  <si>
    <t>5.2.2. Cota aferentă ISC pentru controlul calității lucrărilor de construcții 0,5%</t>
  </si>
  <si>
    <t>5.2.3. Cota aferentă ISC pentru controlului statului în amenajarea teritoriului, urbanism și pentru autorizarea lucrărilor de construcții</t>
  </si>
  <si>
    <t>5.2.4. Cota aferentă Casei Sociale a Constructorilor - CSC 0,5%</t>
  </si>
  <si>
    <t>5.2.5. Taxe pentru acorduri, avize conforme și autorizația de construire/desființare</t>
  </si>
  <si>
    <r>
      <t xml:space="preserve">Cheltuieli diverse si neprevazute </t>
    </r>
    <r>
      <rPr>
        <sz val="12"/>
        <rFont val="Arial"/>
        <family val="2"/>
      </rPr>
      <t>10%</t>
    </r>
  </si>
  <si>
    <t>Cheltuielipentru informare și publicitate</t>
  </si>
  <si>
    <t>CAPITOLUL 6</t>
  </si>
  <si>
    <t xml:space="preserve">Cheltuieli pentru probe tehnologice și teste </t>
  </si>
  <si>
    <t>Pregătirea personalului de exploatare</t>
  </si>
  <si>
    <t>Probe tehnologice și teste</t>
  </si>
  <si>
    <t>TOTAL CAPITOL 6</t>
  </si>
  <si>
    <t>din care C+M</t>
  </si>
  <si>
    <t>În prețuri la data de 14.02.2017; 1 euro =</t>
  </si>
  <si>
    <t>4.5019 lei</t>
  </si>
  <si>
    <t>4.1.3</t>
  </si>
  <si>
    <t>4.1.4</t>
  </si>
  <si>
    <t>TOTAL  (fara TVA)</t>
  </si>
  <si>
    <t>TOTAL I -subcapitol 4.1.3</t>
  </si>
  <si>
    <t xml:space="preserve"> DOTARI SPATII DE JOACA</t>
  </si>
  <si>
    <t>2.4.9</t>
  </si>
  <si>
    <t>4.1.5</t>
  </si>
  <si>
    <t>1.2*</t>
  </si>
  <si>
    <t>1.2.1. Sistematizare verticala</t>
  </si>
  <si>
    <t>1.3.</t>
  </si>
  <si>
    <t>Cap.1 -Cheltuieli pentru obținerea și amenajarea terenului</t>
  </si>
  <si>
    <t>2.1.</t>
  </si>
  <si>
    <t>Cap.2 -Cheltuieli pentru asigurarea utilităților necesare obiectivului</t>
  </si>
  <si>
    <t>2.1.1.Bransament electrica</t>
  </si>
  <si>
    <t>2.1.2.Bransament apa</t>
  </si>
  <si>
    <t>2.1.3.Bransament canal</t>
  </si>
  <si>
    <t>2.1.4.Bransament eon gaz</t>
  </si>
  <si>
    <t>2.2.</t>
  </si>
  <si>
    <t>RETELE EXTERIOARE</t>
  </si>
  <si>
    <t>2.2.1.Retea electrica</t>
  </si>
  <si>
    <t>2.2.2.Retea apa</t>
  </si>
  <si>
    <t>2.2.3.Retea canal</t>
  </si>
  <si>
    <t>2.2.4.Retea eon gaz</t>
  </si>
  <si>
    <t>TOTAL I -subcapitol 4.1.5</t>
  </si>
  <si>
    <t>TOTAL I -subcapitol 1.2.</t>
  </si>
  <si>
    <t>TOTAL I -subcapitol 1.3.</t>
  </si>
  <si>
    <t>TOTAL I -subcapitol 2.1.</t>
  </si>
  <si>
    <t>TOTAL I -subcapitol 2.2.</t>
  </si>
  <si>
    <t>Organizare de santier 1,5%</t>
  </si>
  <si>
    <t xml:space="preserve">REABILITAREA , EXTINDEREA SI DOTAREA GRADINITEI </t>
  </si>
  <si>
    <t>CU PROGRAM PRELUNGIT LUMEA PITICILOR</t>
  </si>
  <si>
    <t>D01-DEVIZUL OBIECTULUI- CORP GRADINITA</t>
  </si>
  <si>
    <t>D02-DEVIZUL OBIECTULUI-TEREN SPORT</t>
  </si>
  <si>
    <t>D03-DEVIZUL OBIECTULUI-TEREN DE JOACA</t>
  </si>
  <si>
    <t>D04-DEVIZUL OBIECTULUI-IMPREJMUIRI SI PORTI</t>
  </si>
  <si>
    <t>D05-DEVIZUL OBIECTULUI- SISTEMATIZARE VERTICALA</t>
  </si>
  <si>
    <t xml:space="preserve"> D06-DEVIZUL OBIECTULUI-DRUMURI, ALEI , PLATFORME</t>
  </si>
  <si>
    <t>D07-DEVIZUL OBIECTULUI- SPATII VERZI</t>
  </si>
  <si>
    <t>D08-DEVIZUL OBIECTULUI-BRANSAMENTE</t>
  </si>
  <si>
    <t>D09-DEVIZUL OBIECTULUI-RETELE EXTERIOARE</t>
  </si>
  <si>
    <t>ing. Radu Indolean</t>
  </si>
  <si>
    <t>ing.Radu  Indolean</t>
  </si>
  <si>
    <t>ing.radu Indolean</t>
  </si>
  <si>
    <t xml:space="preserve">                      </t>
  </si>
  <si>
    <t>Sursa de finanțare:                      Buget local</t>
  </si>
  <si>
    <t>Sursa de finantare:                      Buget de stat</t>
  </si>
  <si>
    <t>Cheltuieli diverse si neprevazute 10%</t>
  </si>
  <si>
    <t>PRIMAR,</t>
  </si>
  <si>
    <t>ing. Morar Costan</t>
  </si>
  <si>
    <t xml:space="preserve">DEVIZ GENERAL  ACTUALIZAT în conformitate cu OUG 114/2018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</si>
</sst>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 _l_e_i_-;\-* #,##0.00\ _l_e_i_-;_-* &quot;-&quot;??\ _l_e_i_-;_-@_-"/>
    <numFmt numFmtId="165" formatCode="0.0"/>
    <numFmt numFmtId="166" formatCode="#,##0.0000"/>
    <numFmt numFmtId="167" formatCode="#,##0.0"/>
    <numFmt numFmtId="168" formatCode="_-* #,##0\ _l_e_i_-;\-* #,##0\ _l_e_i_-;_-* &quot;-&quot;??\ _l_e_i_-;_-@_-"/>
  </numFmts>
  <fonts count="46" x14ac:knownFonts="1">
    <font>
      <sz val="11"/>
      <color theme="1"/>
      <name val="Calibri"/>
      <family val="2"/>
      <scheme val="minor"/>
    </font>
    <font>
      <sz val="12"/>
      <color theme="1"/>
      <name val="Arial"/>
      <family val="2"/>
    </font>
    <font>
      <sz val="12"/>
      <color theme="1"/>
      <name val="Arial"/>
      <family val="2"/>
    </font>
    <font>
      <sz val="11"/>
      <color theme="1"/>
      <name val="Arial"/>
      <family val="2"/>
    </font>
    <font>
      <sz val="12"/>
      <color theme="1"/>
      <name val="Arial"/>
      <family val="2"/>
    </font>
    <font>
      <b/>
      <sz val="12"/>
      <color theme="1"/>
      <name val="Arial"/>
      <family val="2"/>
    </font>
    <font>
      <sz val="10"/>
      <color theme="1"/>
      <name val="Arial"/>
      <family val="2"/>
    </font>
    <font>
      <b/>
      <sz val="10"/>
      <color theme="1"/>
      <name val="Arial"/>
      <family val="2"/>
    </font>
    <font>
      <sz val="12"/>
      <color rgb="FFFF0000"/>
      <name val="Arial"/>
      <family val="2"/>
    </font>
    <font>
      <b/>
      <sz val="14"/>
      <color theme="1"/>
      <name val="Arial"/>
      <family val="2"/>
    </font>
    <font>
      <b/>
      <sz val="12"/>
      <name val="Arial"/>
      <family val="2"/>
    </font>
    <font>
      <b/>
      <sz val="11"/>
      <color theme="1"/>
      <name val="Arial"/>
      <family val="2"/>
    </font>
    <font>
      <b/>
      <sz val="10"/>
      <name val="Arial"/>
      <family val="2"/>
    </font>
    <font>
      <sz val="10"/>
      <name val="Arial"/>
      <family val="2"/>
    </font>
    <font>
      <b/>
      <sz val="11"/>
      <color theme="1"/>
      <name val="Calibri"/>
      <family val="2"/>
      <scheme val="minor"/>
    </font>
    <font>
      <sz val="8"/>
      <name val="Arial"/>
      <family val="2"/>
    </font>
    <font>
      <b/>
      <sz val="8"/>
      <name val="Arial"/>
      <family val="2"/>
    </font>
    <font>
      <sz val="12"/>
      <name val="Times New Roman"/>
      <family val="1"/>
    </font>
    <font>
      <sz val="10"/>
      <name val="Times New Roman"/>
      <family val="1"/>
    </font>
    <font>
      <sz val="14"/>
      <name val="Times New Roman"/>
      <family val="1"/>
    </font>
    <font>
      <b/>
      <sz val="12"/>
      <name val="Times New Roman"/>
      <family val="1"/>
    </font>
    <font>
      <b/>
      <sz val="10"/>
      <name val="Times New Roman"/>
      <family val="1"/>
    </font>
    <font>
      <sz val="12"/>
      <color indexed="12"/>
      <name val="Times New Roman"/>
      <family val="1"/>
    </font>
    <font>
      <sz val="12"/>
      <color indexed="10"/>
      <name val="Times New Roman"/>
      <family val="1"/>
    </font>
    <font>
      <b/>
      <sz val="9"/>
      <color theme="1"/>
      <name val="Arial"/>
      <family val="2"/>
    </font>
    <font>
      <sz val="9"/>
      <color theme="1"/>
      <name val="Arial"/>
      <family val="2"/>
    </font>
    <font>
      <sz val="10"/>
      <color indexed="10"/>
      <name val="Arial"/>
      <family val="2"/>
    </font>
    <font>
      <b/>
      <sz val="8"/>
      <color indexed="8"/>
      <name val="Times New Roman"/>
      <family val="1"/>
    </font>
    <font>
      <sz val="8"/>
      <color indexed="8"/>
      <name val="Times New Roman"/>
      <family val="1"/>
    </font>
    <font>
      <b/>
      <sz val="10"/>
      <color indexed="10"/>
      <name val="Arial"/>
      <family val="2"/>
    </font>
    <font>
      <b/>
      <sz val="14"/>
      <name val="Arial"/>
      <family val="2"/>
    </font>
    <font>
      <sz val="10"/>
      <color indexed="12"/>
      <name val="Arial"/>
      <family val="2"/>
    </font>
    <font>
      <b/>
      <sz val="11"/>
      <name val="Arial"/>
      <family val="2"/>
    </font>
    <font>
      <sz val="11"/>
      <name val="Arial"/>
      <family val="2"/>
    </font>
    <font>
      <sz val="12"/>
      <name val="Arial"/>
      <family val="2"/>
    </font>
    <font>
      <b/>
      <sz val="10"/>
      <color indexed="12"/>
      <name val="Arial"/>
      <family val="2"/>
    </font>
    <font>
      <sz val="10"/>
      <color indexed="14"/>
      <name val="Arial"/>
      <family val="2"/>
    </font>
    <font>
      <sz val="11"/>
      <color indexed="10"/>
      <name val="Arial"/>
      <family val="2"/>
    </font>
    <font>
      <sz val="14"/>
      <name val="Arial Narrow"/>
      <family val="2"/>
      <charset val="238"/>
    </font>
    <font>
      <sz val="12"/>
      <name val="Arial Narrow"/>
      <family val="2"/>
      <charset val="238"/>
    </font>
    <font>
      <b/>
      <sz val="9"/>
      <name val="Arial"/>
      <family val="2"/>
    </font>
    <font>
      <sz val="10"/>
      <name val="Arial Narrow"/>
      <family val="2"/>
      <charset val="238"/>
    </font>
    <font>
      <sz val="12"/>
      <color theme="1"/>
      <name val="Calibri"/>
      <family val="2"/>
      <scheme val="minor"/>
    </font>
    <font>
      <sz val="12"/>
      <color theme="3" tint="0.39997558519241921"/>
      <name val="Arial"/>
      <family val="2"/>
    </font>
    <font>
      <sz val="11"/>
      <color theme="1"/>
      <name val="Calibri"/>
      <family val="2"/>
      <scheme val="minor"/>
    </font>
    <font>
      <b/>
      <sz val="12"/>
      <name val="Arial"/>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hair">
        <color indexed="64"/>
      </top>
      <bottom style="hair">
        <color indexed="64"/>
      </bottom>
      <diagonal/>
    </border>
    <border>
      <left/>
      <right style="thin">
        <color indexed="64"/>
      </right>
      <top/>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164" fontId="44" fillId="0" borderId="0" applyFont="0" applyFill="0" applyBorder="0" applyAlignment="0" applyProtection="0"/>
  </cellStyleXfs>
  <cellXfs count="823">
    <xf numFmtId="0" fontId="0" fillId="0" borderId="0" xfId="0"/>
    <xf numFmtId="2" fontId="4" fillId="0" borderId="0" xfId="0" applyNumberFormat="1" applyFont="1"/>
    <xf numFmtId="2" fontId="6" fillId="0" borderId="0" xfId="0" applyNumberFormat="1" applyFont="1"/>
    <xf numFmtId="2" fontId="7" fillId="0" borderId="0" xfId="0" applyNumberFormat="1" applyFont="1" applyAlignment="1">
      <alignment vertical="center"/>
    </xf>
    <xf numFmtId="2" fontId="3" fillId="0" borderId="0" xfId="0" applyNumberFormat="1" applyFont="1" applyAlignment="1">
      <alignment horizontal="center" vertical="center"/>
    </xf>
    <xf numFmtId="2" fontId="3" fillId="0" borderId="0" xfId="0" applyNumberFormat="1" applyFont="1"/>
    <xf numFmtId="2"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2" fontId="5" fillId="0" borderId="0" xfId="0" applyNumberFormat="1" applyFont="1" applyBorder="1" applyAlignment="1">
      <alignment horizontal="left" vertical="center"/>
    </xf>
    <xf numFmtId="2" fontId="5" fillId="0" borderId="0" xfId="0" applyNumberFormat="1" applyFont="1" applyBorder="1" applyAlignment="1">
      <alignment horizontal="center" vertical="center"/>
    </xf>
    <xf numFmtId="166" fontId="8" fillId="0" borderId="0" xfId="0" applyNumberFormat="1" applyFont="1"/>
    <xf numFmtId="4" fontId="8" fillId="0" borderId="11" xfId="0" applyNumberFormat="1" applyFont="1" applyBorder="1" applyAlignment="1">
      <alignment horizontal="center" vertical="center"/>
    </xf>
    <xf numFmtId="4" fontId="8" fillId="0" borderId="10" xfId="0" applyNumberFormat="1" applyFont="1" applyBorder="1" applyAlignment="1">
      <alignment horizontal="center" vertical="center"/>
    </xf>
    <xf numFmtId="4" fontId="8" fillId="0" borderId="12" xfId="0" applyNumberFormat="1" applyFont="1" applyBorder="1" applyAlignment="1">
      <alignment horizontal="center" vertical="center"/>
    </xf>
    <xf numFmtId="4" fontId="8" fillId="0" borderId="13" xfId="0" applyNumberFormat="1" applyFont="1" applyBorder="1" applyAlignment="1">
      <alignment horizontal="center" vertical="center"/>
    </xf>
    <xf numFmtId="2" fontId="5" fillId="2"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49" fontId="1" fillId="0" borderId="10"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2" xfId="0" applyNumberFormat="1" applyFont="1" applyBorder="1" applyAlignment="1">
      <alignment horizontal="justify" vertical="center"/>
    </xf>
    <xf numFmtId="49" fontId="1" fillId="0" borderId="10" xfId="0" applyNumberFormat="1" applyFont="1" applyBorder="1" applyAlignment="1">
      <alignment vertical="center"/>
    </xf>
    <xf numFmtId="2" fontId="2" fillId="0" borderId="0" xfId="0" applyNumberFormat="1" applyFont="1" applyAlignment="1">
      <alignment horizontal="right" vertical="center" wrapText="1"/>
    </xf>
    <xf numFmtId="49" fontId="1" fillId="0" borderId="11" xfId="0" applyNumberFormat="1" applyFont="1" applyBorder="1" applyAlignment="1">
      <alignment horizontal="left" vertical="center"/>
    </xf>
    <xf numFmtId="4" fontId="1" fillId="0" borderId="11" xfId="0" applyNumberFormat="1" applyFont="1" applyBorder="1" applyAlignment="1">
      <alignment horizontal="center" vertical="center"/>
    </xf>
    <xf numFmtId="2" fontId="1" fillId="0" borderId="0" xfId="0" applyNumberFormat="1" applyFont="1"/>
    <xf numFmtId="0" fontId="13" fillId="0" borderId="0" xfId="0" applyFont="1"/>
    <xf numFmtId="0" fontId="12" fillId="0" borderId="0" xfId="0" applyFont="1" applyAlignment="1">
      <alignment horizontal="center"/>
    </xf>
    <xf numFmtId="0" fontId="12" fillId="0" borderId="0" xfId="0" applyFont="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4" xfId="0" applyBorder="1"/>
    <xf numFmtId="0" fontId="13" fillId="0" borderId="14" xfId="0" applyFont="1" applyBorder="1"/>
    <xf numFmtId="3" fontId="0" fillId="0" borderId="14" xfId="0" applyNumberFormat="1" applyBorder="1"/>
    <xf numFmtId="4" fontId="0" fillId="0" borderId="14" xfId="0" applyNumberFormat="1" applyBorder="1"/>
    <xf numFmtId="0" fontId="0" fillId="0" borderId="12" xfId="0" applyBorder="1"/>
    <xf numFmtId="3" fontId="0" fillId="0" borderId="12" xfId="0" applyNumberFormat="1" applyBorder="1"/>
    <xf numFmtId="4" fontId="0" fillId="0" borderId="12" xfId="0" applyNumberFormat="1" applyBorder="1"/>
    <xf numFmtId="0" fontId="13" fillId="0" borderId="12" xfId="0" applyFont="1" applyBorder="1"/>
    <xf numFmtId="0" fontId="13" fillId="0" borderId="10" xfId="0" applyFont="1" applyBorder="1"/>
    <xf numFmtId="3" fontId="0" fillId="0" borderId="10" xfId="0" applyNumberFormat="1" applyBorder="1"/>
    <xf numFmtId="4" fontId="0" fillId="0" borderId="10" xfId="0" applyNumberFormat="1" applyBorder="1"/>
    <xf numFmtId="0" fontId="13" fillId="0" borderId="13" xfId="0" applyFont="1" applyBorder="1"/>
    <xf numFmtId="3" fontId="0" fillId="0" borderId="13" xfId="0" applyNumberFormat="1" applyBorder="1"/>
    <xf numFmtId="4" fontId="0" fillId="0" borderId="13" xfId="0" applyNumberFormat="1" applyBorder="1"/>
    <xf numFmtId="0" fontId="13" fillId="0" borderId="17" xfId="0" applyFont="1" applyBorder="1"/>
    <xf numFmtId="0" fontId="0" fillId="0" borderId="13" xfId="0" applyBorder="1"/>
    <xf numFmtId="0" fontId="0" fillId="0" borderId="10" xfId="0" applyBorder="1" applyAlignment="1">
      <alignment horizontal="right"/>
    </xf>
    <xf numFmtId="0" fontId="0" fillId="0" borderId="18" xfId="0" applyBorder="1"/>
    <xf numFmtId="2" fontId="0" fillId="0" borderId="18" xfId="0" applyNumberFormat="1" applyBorder="1"/>
    <xf numFmtId="0" fontId="0" fillId="0" borderId="12" xfId="0" applyBorder="1" applyAlignment="1">
      <alignment horizontal="right"/>
    </xf>
    <xf numFmtId="0" fontId="0" fillId="0" borderId="19" xfId="0" applyBorder="1"/>
    <xf numFmtId="2" fontId="0" fillId="0" borderId="19" xfId="0" applyNumberFormat="1" applyBorder="1"/>
    <xf numFmtId="0" fontId="0" fillId="0" borderId="12" xfId="0" applyBorder="1" applyAlignment="1">
      <alignment horizontal="right" vertical="center"/>
    </xf>
    <xf numFmtId="0" fontId="0" fillId="0" borderId="19" xfId="0" applyBorder="1" applyAlignment="1">
      <alignment vertical="center" wrapText="1"/>
    </xf>
    <xf numFmtId="0" fontId="0" fillId="0" borderId="19" xfId="0" applyBorder="1" applyAlignment="1">
      <alignment vertical="center"/>
    </xf>
    <xf numFmtId="2" fontId="0" fillId="0" borderId="19" xfId="0" applyNumberFormat="1" applyBorder="1" applyAlignment="1">
      <alignment vertical="center"/>
    </xf>
    <xf numFmtId="0" fontId="0" fillId="0" borderId="20" xfId="0" applyBorder="1"/>
    <xf numFmtId="2" fontId="0" fillId="0" borderId="20" xfId="0" applyNumberFormat="1" applyBorder="1"/>
    <xf numFmtId="0" fontId="0" fillId="0" borderId="10" xfId="0" applyBorder="1"/>
    <xf numFmtId="4" fontId="13" fillId="0" borderId="10" xfId="0" applyNumberFormat="1" applyFont="1" applyBorder="1"/>
    <xf numFmtId="4" fontId="0" fillId="0" borderId="12" xfId="0" applyNumberFormat="1" applyBorder="1" applyAlignment="1">
      <alignment vertical="center"/>
    </xf>
    <xf numFmtId="0" fontId="0" fillId="0" borderId="8" xfId="0" applyBorder="1"/>
    <xf numFmtId="0" fontId="12" fillId="0" borderId="15" xfId="0" applyFont="1" applyBorder="1"/>
    <xf numFmtId="0" fontId="0" fillId="0" borderId="15" xfId="0" applyBorder="1"/>
    <xf numFmtId="3" fontId="0" fillId="0" borderId="15" xfId="0" applyNumberFormat="1" applyBorder="1"/>
    <xf numFmtId="4" fontId="12" fillId="0" borderId="9" xfId="0" applyNumberFormat="1" applyFont="1" applyFill="1" applyBorder="1"/>
    <xf numFmtId="0" fontId="0" fillId="0" borderId="0" xfId="0" applyBorder="1"/>
    <xf numFmtId="0" fontId="12" fillId="0" borderId="0" xfId="0" applyFont="1" applyBorder="1"/>
    <xf numFmtId="3" fontId="0" fillId="0" borderId="0" xfId="0" applyNumberFormat="1" applyBorder="1"/>
    <xf numFmtId="3" fontId="12" fillId="0" borderId="0" xfId="0" applyNumberFormat="1" applyFont="1" applyFill="1" applyBorder="1"/>
    <xf numFmtId="0" fontId="0" fillId="0" borderId="14" xfId="0" applyBorder="1" applyAlignment="1">
      <alignment vertical="center"/>
    </xf>
    <xf numFmtId="0" fontId="13" fillId="0" borderId="14" xfId="0" applyFont="1" applyBorder="1" applyAlignment="1">
      <alignment vertical="center" wrapText="1"/>
    </xf>
    <xf numFmtId="0" fontId="13" fillId="0" borderId="14" xfId="0" applyFont="1" applyBorder="1" applyAlignment="1">
      <alignment vertical="center"/>
    </xf>
    <xf numFmtId="3" fontId="0" fillId="0" borderId="14" xfId="0" applyNumberFormat="1" applyBorder="1" applyAlignment="1">
      <alignment vertical="center"/>
    </xf>
    <xf numFmtId="4" fontId="0" fillId="0" borderId="14" xfId="0" applyNumberFormat="1" applyBorder="1" applyAlignment="1">
      <alignment vertical="center"/>
    </xf>
    <xf numFmtId="0" fontId="12" fillId="0" borderId="0" xfId="0" applyFont="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xf>
    <xf numFmtId="0" fontId="12" fillId="0" borderId="22" xfId="0" applyFont="1" applyBorder="1" applyAlignment="1">
      <alignment horizontal="center" vertical="center" wrapText="1"/>
    </xf>
    <xf numFmtId="0" fontId="13" fillId="0" borderId="12" xfId="0" applyFont="1" applyBorder="1" applyAlignment="1">
      <alignment wrapText="1"/>
    </xf>
    <xf numFmtId="0" fontId="12" fillId="0" borderId="24" xfId="0" applyFont="1" applyBorder="1"/>
    <xf numFmtId="0" fontId="12" fillId="0" borderId="12" xfId="0" applyFont="1" applyBorder="1" applyAlignment="1">
      <alignment wrapText="1"/>
    </xf>
    <xf numFmtId="0" fontId="16" fillId="0" borderId="0" xfId="0" applyFont="1" applyFill="1" applyBorder="1" applyAlignment="1">
      <alignment wrapText="1"/>
    </xf>
    <xf numFmtId="0" fontId="17" fillId="0" borderId="0" xfId="0" applyFont="1"/>
    <xf numFmtId="0" fontId="18" fillId="0" borderId="0" xfId="0" applyFont="1"/>
    <xf numFmtId="0" fontId="21" fillId="0" borderId="21" xfId="0" applyFont="1" applyBorder="1" applyAlignment="1">
      <alignment horizontal="center" wrapText="1"/>
    </xf>
    <xf numFmtId="0" fontId="21" fillId="0" borderId="22" xfId="0" applyFont="1" applyBorder="1" applyAlignment="1">
      <alignment horizontal="center" wrapText="1"/>
    </xf>
    <xf numFmtId="0" fontId="21" fillId="0" borderId="22" xfId="0" applyFont="1" applyBorder="1" applyAlignment="1">
      <alignment horizontal="center"/>
    </xf>
    <xf numFmtId="0" fontId="21" fillId="0" borderId="27" xfId="0" applyFont="1" applyBorder="1" applyAlignment="1">
      <alignment horizontal="center"/>
    </xf>
    <xf numFmtId="0" fontId="17" fillId="0" borderId="28" xfId="0" applyFont="1" applyBorder="1"/>
    <xf numFmtId="0" fontId="17" fillId="0" borderId="29" xfId="0" applyFont="1" applyBorder="1"/>
    <xf numFmtId="0" fontId="17" fillId="0" borderId="29" xfId="0" applyFont="1" applyBorder="1" applyAlignment="1">
      <alignment horizontal="center"/>
    </xf>
    <xf numFmtId="0" fontId="17" fillId="0" borderId="14" xfId="0" applyFont="1" applyBorder="1"/>
    <xf numFmtId="0" fontId="17" fillId="0" borderId="30" xfId="0" applyFont="1" applyBorder="1"/>
    <xf numFmtId="0" fontId="20" fillId="0" borderId="31" xfId="0" applyFont="1" applyBorder="1" applyAlignment="1">
      <alignment wrapText="1"/>
    </xf>
    <xf numFmtId="0" fontId="20" fillId="0" borderId="10" xfId="0" applyFont="1" applyBorder="1" applyAlignment="1">
      <alignment wrapText="1"/>
    </xf>
    <xf numFmtId="0" fontId="17" fillId="0" borderId="10" xfId="0" applyFont="1" applyBorder="1" applyAlignment="1">
      <alignment wrapText="1"/>
    </xf>
    <xf numFmtId="0" fontId="17" fillId="0" borderId="10" xfId="0" applyFont="1" applyBorder="1" applyAlignment="1">
      <alignment horizontal="center" wrapText="1"/>
    </xf>
    <xf numFmtId="0" fontId="17" fillId="0" borderId="12" xfId="0" applyFont="1" applyBorder="1"/>
    <xf numFmtId="4" fontId="20" fillId="0" borderId="32" xfId="0" applyNumberFormat="1" applyFont="1" applyBorder="1"/>
    <xf numFmtId="0" fontId="20" fillId="0" borderId="24" xfId="0" applyFont="1" applyBorder="1" applyAlignment="1">
      <alignment wrapText="1"/>
    </xf>
    <xf numFmtId="0" fontId="20" fillId="0" borderId="12" xfId="0" applyFont="1" applyBorder="1" applyAlignment="1">
      <alignment wrapText="1"/>
    </xf>
    <xf numFmtId="0" fontId="17" fillId="0" borderId="12" xfId="0" applyFont="1" applyBorder="1" applyAlignment="1">
      <alignment horizontal="center" vertical="center" wrapText="1"/>
    </xf>
    <xf numFmtId="4" fontId="17" fillId="0" borderId="12" xfId="0" applyNumberFormat="1" applyFont="1" applyBorder="1" applyAlignment="1">
      <alignment horizontal="center" vertical="center" wrapText="1"/>
    </xf>
    <xf numFmtId="4" fontId="17" fillId="0" borderId="12" xfId="0" applyNumberFormat="1" applyFont="1" applyBorder="1" applyAlignment="1">
      <alignment horizontal="center" vertical="center"/>
    </xf>
    <xf numFmtId="4" fontId="20" fillId="0" borderId="33" xfId="0" applyNumberFormat="1" applyFont="1" applyBorder="1" applyAlignment="1">
      <alignment horizontal="right" vertical="center"/>
    </xf>
    <xf numFmtId="0" fontId="17" fillId="0" borderId="24" xfId="0" applyFont="1" applyBorder="1" applyAlignment="1">
      <alignment vertical="top" wrapText="1"/>
    </xf>
    <xf numFmtId="0" fontId="17" fillId="0" borderId="12" xfId="0" applyFont="1" applyBorder="1" applyAlignment="1">
      <alignment vertical="top" wrapText="1"/>
    </xf>
    <xf numFmtId="4" fontId="17" fillId="0" borderId="32" xfId="0" applyNumberFormat="1" applyFont="1" applyBorder="1" applyAlignment="1">
      <alignment horizontal="right" vertical="center"/>
    </xf>
    <xf numFmtId="0" fontId="17" fillId="0" borderId="12" xfId="0" applyFont="1" applyFill="1" applyBorder="1" applyAlignment="1">
      <alignment horizontal="center" vertical="center" wrapText="1"/>
    </xf>
    <xf numFmtId="49" fontId="20" fillId="0" borderId="24" xfId="0" applyNumberFormat="1" applyFont="1" applyBorder="1" applyAlignment="1">
      <alignment horizontal="right" vertical="top" wrapText="1"/>
    </xf>
    <xf numFmtId="4" fontId="20" fillId="0" borderId="32" xfId="0" applyNumberFormat="1" applyFont="1" applyBorder="1" applyAlignment="1">
      <alignment horizontal="right" vertical="center"/>
    </xf>
    <xf numFmtId="0" fontId="17" fillId="0" borderId="12" xfId="0" applyFont="1" applyBorder="1" applyAlignment="1">
      <alignment wrapText="1"/>
    </xf>
    <xf numFmtId="4" fontId="22" fillId="0" borderId="12" xfId="0" applyNumberFormat="1" applyFont="1" applyBorder="1" applyAlignment="1">
      <alignment horizontal="center" vertical="center"/>
    </xf>
    <xf numFmtId="49" fontId="17" fillId="0" borderId="24" xfId="0" applyNumberFormat="1" applyFont="1" applyBorder="1" applyAlignment="1">
      <alignment horizontal="right" vertical="top" wrapText="1"/>
    </xf>
    <xf numFmtId="49" fontId="20" fillId="0" borderId="24" xfId="0" applyNumberFormat="1" applyFont="1" applyBorder="1" applyAlignment="1">
      <alignment horizontal="right" wrapText="1"/>
    </xf>
    <xf numFmtId="0" fontId="20" fillId="0" borderId="24" xfId="0" applyFont="1" applyBorder="1" applyAlignment="1">
      <alignment vertical="top"/>
    </xf>
    <xf numFmtId="0" fontId="23" fillId="0" borderId="12" xfId="0" applyFont="1" applyBorder="1" applyAlignment="1">
      <alignment horizontal="center" vertical="top"/>
    </xf>
    <xf numFmtId="4" fontId="23" fillId="0" borderId="12" xfId="0" applyNumberFormat="1" applyFont="1" applyBorder="1" applyAlignment="1">
      <alignment horizontal="right"/>
    </xf>
    <xf numFmtId="4" fontId="17" fillId="0" borderId="12" xfId="0" applyNumberFormat="1" applyFont="1" applyBorder="1"/>
    <xf numFmtId="0" fontId="17" fillId="0" borderId="24" xfId="0" applyFont="1" applyBorder="1" applyAlignment="1">
      <alignment vertical="top"/>
    </xf>
    <xf numFmtId="0" fontId="17" fillId="0" borderId="12" xfId="0" applyFont="1" applyBorder="1" applyAlignment="1">
      <alignment horizontal="center" vertical="top"/>
    </xf>
    <xf numFmtId="4" fontId="17" fillId="0" borderId="12" xfId="0" applyNumberFormat="1" applyFont="1" applyBorder="1" applyAlignment="1">
      <alignment horizontal="right"/>
    </xf>
    <xf numFmtId="4" fontId="17" fillId="0" borderId="32" xfId="0" applyNumberFormat="1" applyFont="1" applyBorder="1"/>
    <xf numFmtId="4" fontId="22" fillId="0" borderId="12" xfId="0" applyNumberFormat="1" applyFont="1" applyBorder="1"/>
    <xf numFmtId="0" fontId="17" fillId="0" borderId="35" xfId="0" applyFont="1" applyBorder="1" applyAlignment="1">
      <alignment vertical="top"/>
    </xf>
    <xf numFmtId="0" fontId="17" fillId="0" borderId="14" xfId="0" applyFont="1" applyBorder="1" applyAlignment="1">
      <alignment wrapText="1"/>
    </xf>
    <xf numFmtId="0" fontId="17" fillId="0" borderId="14" xfId="0" applyFont="1" applyBorder="1" applyAlignment="1">
      <alignment horizontal="center" vertical="top"/>
    </xf>
    <xf numFmtId="4" fontId="17" fillId="0" borderId="14" xfId="0" applyNumberFormat="1" applyFont="1" applyBorder="1" applyAlignment="1">
      <alignment horizontal="right"/>
    </xf>
    <xf numFmtId="4" fontId="17" fillId="0" borderId="14" xfId="0" applyNumberFormat="1" applyFont="1" applyBorder="1"/>
    <xf numFmtId="0" fontId="13" fillId="0" borderId="12" xfId="0" applyFont="1" applyBorder="1" applyAlignment="1">
      <alignment vertical="top" wrapText="1"/>
    </xf>
    <xf numFmtId="0" fontId="13" fillId="0" borderId="0" xfId="0" applyFont="1" applyBorder="1" applyAlignment="1">
      <alignment vertical="top" wrapText="1"/>
    </xf>
    <xf numFmtId="4" fontId="12" fillId="0" borderId="0" xfId="0" applyNumberFormat="1" applyFont="1" applyBorder="1"/>
    <xf numFmtId="49" fontId="17" fillId="0" borderId="0" xfId="0" applyNumberFormat="1" applyFont="1" applyBorder="1" applyAlignment="1">
      <alignment horizontal="right" vertical="top"/>
    </xf>
    <xf numFmtId="0" fontId="0" fillId="0" borderId="0" xfId="0" applyFill="1" applyBorder="1" applyAlignment="1">
      <alignment horizontal="right" wrapText="1"/>
    </xf>
    <xf numFmtId="0" fontId="0" fillId="0" borderId="0" xfId="0" applyAlignment="1">
      <alignment horizontal="right"/>
    </xf>
    <xf numFmtId="0" fontId="17" fillId="0" borderId="0" xfId="0" applyFont="1" applyBorder="1" applyAlignment="1">
      <alignment horizontal="center" vertical="top"/>
    </xf>
    <xf numFmtId="3" fontId="17" fillId="0" borderId="0" xfId="0" applyNumberFormat="1" applyFont="1" applyBorder="1" applyAlignment="1">
      <alignment horizontal="center"/>
    </xf>
    <xf numFmtId="2" fontId="24" fillId="0" borderId="0" xfId="0" applyNumberFormat="1" applyFont="1" applyAlignment="1">
      <alignment vertical="center" wrapText="1"/>
    </xf>
    <xf numFmtId="2" fontId="25" fillId="0" borderId="0" xfId="0" applyNumberFormat="1" applyFont="1" applyAlignment="1">
      <alignment vertical="center"/>
    </xf>
    <xf numFmtId="49" fontId="17" fillId="0" borderId="37" xfId="0" applyNumberFormat="1" applyFont="1" applyBorder="1" applyAlignment="1">
      <alignment horizontal="right" vertical="top" wrapText="1"/>
    </xf>
    <xf numFmtId="0" fontId="17" fillId="0" borderId="38" xfId="0" applyFont="1" applyBorder="1" applyAlignment="1">
      <alignment vertical="top" wrapText="1"/>
    </xf>
    <xf numFmtId="0" fontId="17" fillId="0" borderId="38" xfId="0" applyFont="1" applyBorder="1" applyAlignment="1">
      <alignment horizontal="center" vertical="center" wrapText="1"/>
    </xf>
    <xf numFmtId="4" fontId="17" fillId="0" borderId="38" xfId="0" applyNumberFormat="1" applyFont="1" applyBorder="1"/>
    <xf numFmtId="4" fontId="20" fillId="0" borderId="39" xfId="0" applyNumberFormat="1" applyFont="1" applyBorder="1" applyAlignment="1">
      <alignment horizontal="right" vertical="center"/>
    </xf>
    <xf numFmtId="0" fontId="21" fillId="0" borderId="27" xfId="0" applyFont="1" applyBorder="1" applyAlignment="1">
      <alignment horizontal="center" wrapText="1"/>
    </xf>
    <xf numFmtId="0" fontId="20" fillId="0" borderId="40" xfId="0" applyFont="1" applyBorder="1" applyAlignment="1"/>
    <xf numFmtId="0" fontId="20" fillId="0" borderId="14" xfId="0" applyFont="1" applyBorder="1"/>
    <xf numFmtId="0" fontId="17" fillId="0" borderId="14" xfId="0" applyFont="1" applyBorder="1" applyAlignment="1">
      <alignment horizontal="center"/>
    </xf>
    <xf numFmtId="0" fontId="17" fillId="0" borderId="16" xfId="0" applyFont="1" applyBorder="1"/>
    <xf numFmtId="4" fontId="20" fillId="0" borderId="36" xfId="0" applyNumberFormat="1" applyFont="1" applyBorder="1"/>
    <xf numFmtId="0" fontId="17" fillId="0" borderId="23" xfId="0" applyFont="1" applyBorder="1" applyAlignment="1">
      <alignment vertical="top"/>
    </xf>
    <xf numFmtId="0" fontId="0" fillId="0" borderId="13" xfId="0" applyBorder="1" applyAlignment="1">
      <alignment wrapText="1"/>
    </xf>
    <xf numFmtId="0" fontId="17" fillId="0" borderId="13" xfId="0" applyFont="1" applyBorder="1" applyAlignment="1">
      <alignment horizontal="center" vertical="top"/>
    </xf>
    <xf numFmtId="4" fontId="17" fillId="0" borderId="13" xfId="0" applyNumberFormat="1" applyFont="1" applyBorder="1" applyAlignment="1">
      <alignment horizontal="center"/>
    </xf>
    <xf numFmtId="0" fontId="17" fillId="0" borderId="12" xfId="0" applyFont="1" applyBorder="1" applyAlignment="1">
      <alignment horizontal="center" vertical="center"/>
    </xf>
    <xf numFmtId="0" fontId="20" fillId="0" borderId="24" xfId="0" applyFont="1" applyBorder="1" applyAlignment="1"/>
    <xf numFmtId="0" fontId="17" fillId="0" borderId="0" xfId="0" applyFont="1" applyBorder="1" applyAlignment="1">
      <alignment wrapText="1"/>
    </xf>
    <xf numFmtId="0" fontId="17" fillId="0" borderId="41" xfId="0" applyFont="1" applyBorder="1" applyAlignment="1">
      <alignment vertical="top"/>
    </xf>
    <xf numFmtId="0" fontId="17" fillId="0" borderId="19" xfId="0" applyFont="1" applyBorder="1" applyAlignment="1">
      <alignment horizontal="center" vertical="center"/>
    </xf>
    <xf numFmtId="0" fontId="17" fillId="0" borderId="19" xfId="0" applyFont="1" applyFill="1" applyBorder="1" applyAlignment="1">
      <alignment horizontal="center" vertical="center"/>
    </xf>
    <xf numFmtId="0" fontId="17" fillId="0" borderId="12" xfId="0" applyFont="1" applyFill="1" applyBorder="1" applyAlignment="1">
      <alignment wrapText="1"/>
    </xf>
    <xf numFmtId="49" fontId="17" fillId="0" borderId="41" xfId="0" applyNumberFormat="1" applyFont="1" applyBorder="1" applyAlignment="1">
      <alignment horizontal="right" vertical="top"/>
    </xf>
    <xf numFmtId="49" fontId="17" fillId="0" borderId="40" xfId="0" applyNumberFormat="1" applyFont="1" applyBorder="1" applyAlignment="1">
      <alignment horizontal="right" vertical="top"/>
    </xf>
    <xf numFmtId="0" fontId="17" fillId="0" borderId="14" xfId="0" applyFont="1" applyBorder="1" applyAlignment="1">
      <alignment vertical="top" wrapText="1"/>
    </xf>
    <xf numFmtId="0" fontId="17" fillId="0" borderId="42" xfId="0" applyFont="1" applyFill="1" applyBorder="1" applyAlignment="1">
      <alignment horizontal="center" vertical="center"/>
    </xf>
    <xf numFmtId="4" fontId="17" fillId="0" borderId="14" xfId="0" applyNumberFormat="1" applyFont="1" applyBorder="1" applyAlignment="1">
      <alignment horizontal="center" vertical="center"/>
    </xf>
    <xf numFmtId="4" fontId="17" fillId="0" borderId="13" xfId="0" applyNumberFormat="1" applyFont="1" applyBorder="1"/>
    <xf numFmtId="4" fontId="17" fillId="0" borderId="43" xfId="0" applyNumberFormat="1" applyFont="1" applyBorder="1"/>
    <xf numFmtId="49" fontId="17" fillId="0" borderId="44" xfId="0" applyNumberFormat="1" applyFont="1" applyBorder="1" applyAlignment="1">
      <alignment horizontal="right" vertical="top"/>
    </xf>
    <xf numFmtId="0" fontId="17" fillId="0" borderId="12" xfId="0" applyFont="1" applyFill="1" applyBorder="1" applyAlignment="1">
      <alignment horizontal="center" vertical="center"/>
    </xf>
    <xf numFmtId="49" fontId="17" fillId="0" borderId="45" xfId="0" applyNumberFormat="1" applyFont="1" applyBorder="1" applyAlignment="1">
      <alignment horizontal="right" vertical="top"/>
    </xf>
    <xf numFmtId="4" fontId="17" fillId="0" borderId="14" xfId="0" applyNumberFormat="1" applyFont="1" applyBorder="1" applyAlignment="1">
      <alignment horizontal="center"/>
    </xf>
    <xf numFmtId="0" fontId="17" fillId="0" borderId="17" xfId="0" applyFont="1" applyBorder="1" applyAlignment="1">
      <alignment horizontal="center"/>
    </xf>
    <xf numFmtId="4" fontId="17" fillId="0" borderId="12" xfId="0" applyNumberFormat="1" applyFont="1" applyBorder="1" applyAlignment="1">
      <alignment horizontal="center"/>
    </xf>
    <xf numFmtId="0" fontId="17" fillId="0" borderId="17" xfId="0" applyFont="1" applyFill="1" applyBorder="1" applyAlignment="1">
      <alignment wrapText="1"/>
    </xf>
    <xf numFmtId="0" fontId="17" fillId="0" borderId="12" xfId="0" applyFont="1" applyBorder="1" applyAlignment="1">
      <alignment horizontal="center"/>
    </xf>
    <xf numFmtId="3" fontId="17" fillId="0" borderId="12" xfId="0" applyNumberFormat="1" applyFont="1" applyBorder="1" applyAlignment="1">
      <alignment horizontal="center"/>
    </xf>
    <xf numFmtId="0" fontId="17" fillId="0" borderId="20" xfId="0" applyFont="1" applyBorder="1" applyAlignment="1">
      <alignment horizontal="center"/>
    </xf>
    <xf numFmtId="0" fontId="17" fillId="0" borderId="19" xfId="0" applyFont="1" applyBorder="1" applyAlignment="1">
      <alignment horizontal="center"/>
    </xf>
    <xf numFmtId="0" fontId="23" fillId="0" borderId="12" xfId="0" applyFont="1" applyBorder="1" applyAlignment="1">
      <alignment wrapText="1"/>
    </xf>
    <xf numFmtId="0" fontId="23" fillId="0" borderId="19" xfId="0" applyFont="1" applyBorder="1" applyAlignment="1">
      <alignment horizontal="center"/>
    </xf>
    <xf numFmtId="4" fontId="23" fillId="0" borderId="12" xfId="0" applyNumberFormat="1" applyFont="1" applyBorder="1" applyAlignment="1">
      <alignment horizontal="center"/>
    </xf>
    <xf numFmtId="4" fontId="23" fillId="0" borderId="12" xfId="0" applyNumberFormat="1" applyFont="1" applyBorder="1"/>
    <xf numFmtId="4" fontId="23" fillId="0" borderId="32" xfId="0" applyNumberFormat="1" applyFont="1" applyBorder="1"/>
    <xf numFmtId="0" fontId="23" fillId="0" borderId="17" xfId="0" applyFont="1" applyBorder="1" applyAlignment="1">
      <alignment wrapText="1"/>
    </xf>
    <xf numFmtId="49" fontId="20" fillId="0" borderId="41" xfId="0" applyNumberFormat="1" applyFont="1" applyBorder="1" applyAlignment="1">
      <alignment horizontal="right"/>
    </xf>
    <xf numFmtId="0" fontId="20" fillId="0" borderId="17" xfId="0" applyFont="1" applyBorder="1" applyAlignment="1">
      <alignment wrapText="1"/>
    </xf>
    <xf numFmtId="4" fontId="17" fillId="0" borderId="17" xfId="0" applyNumberFormat="1" applyFont="1" applyBorder="1" applyAlignment="1">
      <alignment horizontal="center"/>
    </xf>
    <xf numFmtId="49" fontId="23" fillId="0" borderId="41" xfId="0" applyNumberFormat="1" applyFont="1" applyBorder="1" applyAlignment="1">
      <alignment horizontal="right" vertical="top"/>
    </xf>
    <xf numFmtId="4" fontId="23" fillId="0" borderId="17" xfId="0" applyNumberFormat="1" applyFont="1" applyBorder="1" applyAlignment="1">
      <alignment horizontal="center"/>
    </xf>
    <xf numFmtId="0" fontId="17" fillId="0" borderId="12" xfId="0" applyFont="1" applyFill="1" applyBorder="1" applyAlignment="1">
      <alignment vertical="top" wrapText="1"/>
    </xf>
    <xf numFmtId="0" fontId="23" fillId="0" borderId="12" xfId="0" applyFont="1" applyBorder="1" applyAlignment="1">
      <alignment vertical="top" wrapText="1"/>
    </xf>
    <xf numFmtId="0" fontId="23" fillId="0" borderId="20" xfId="0" applyFont="1" applyBorder="1" applyAlignment="1">
      <alignment horizontal="center"/>
    </xf>
    <xf numFmtId="3" fontId="23" fillId="0" borderId="17" xfId="0" applyNumberFormat="1" applyFont="1" applyBorder="1" applyAlignment="1">
      <alignment horizontal="center"/>
    </xf>
    <xf numFmtId="167" fontId="17" fillId="0" borderId="17" xfId="0" applyNumberFormat="1" applyFont="1" applyBorder="1" applyAlignment="1">
      <alignment horizontal="center"/>
    </xf>
    <xf numFmtId="0" fontId="23" fillId="0" borderId="14" xfId="0" applyFont="1" applyBorder="1" applyAlignment="1">
      <alignment vertical="top" wrapText="1"/>
    </xf>
    <xf numFmtId="0" fontId="20" fillId="0" borderId="14" xfId="0" applyFont="1" applyBorder="1" applyAlignment="1">
      <alignment wrapText="1"/>
    </xf>
    <xf numFmtId="3" fontId="17" fillId="0" borderId="17" xfId="0" applyNumberFormat="1" applyFont="1" applyBorder="1" applyAlignment="1">
      <alignment horizontal="center"/>
    </xf>
    <xf numFmtId="49" fontId="17" fillId="0" borderId="41" xfId="0" applyNumberFormat="1" applyFont="1" applyBorder="1" applyAlignment="1">
      <alignment horizontal="right"/>
    </xf>
    <xf numFmtId="0" fontId="17" fillId="0" borderId="17" xfId="0" applyFont="1" applyBorder="1" applyAlignment="1">
      <alignment wrapText="1"/>
    </xf>
    <xf numFmtId="167" fontId="17" fillId="0" borderId="12" xfId="0" applyNumberFormat="1" applyFont="1" applyBorder="1" applyAlignment="1">
      <alignment horizontal="center"/>
    </xf>
    <xf numFmtId="0" fontId="17" fillId="0" borderId="19" xfId="0" applyFont="1" applyBorder="1" applyAlignment="1">
      <alignment vertical="top" wrapText="1"/>
    </xf>
    <xf numFmtId="0" fontId="17" fillId="0" borderId="42" xfId="0" applyFont="1" applyBorder="1" applyAlignment="1">
      <alignment horizontal="center"/>
    </xf>
    <xf numFmtId="3" fontId="17" fillId="0" borderId="14" xfId="0" applyNumberFormat="1" applyFont="1" applyBorder="1" applyAlignment="1">
      <alignment horizontal="center"/>
    </xf>
    <xf numFmtId="4" fontId="17" fillId="0" borderId="46" xfId="0" applyNumberFormat="1" applyFont="1" applyBorder="1"/>
    <xf numFmtId="0" fontId="21" fillId="0" borderId="24" xfId="0" applyFont="1" applyBorder="1"/>
    <xf numFmtId="0" fontId="18" fillId="0" borderId="14" xfId="0" applyFont="1" applyBorder="1" applyAlignment="1">
      <alignment horizontal="center" vertical="top"/>
    </xf>
    <xf numFmtId="4" fontId="18" fillId="0" borderId="14" xfId="0" applyNumberFormat="1" applyFont="1" applyBorder="1"/>
    <xf numFmtId="4" fontId="21" fillId="0" borderId="46" xfId="0" applyNumberFormat="1" applyFont="1" applyBorder="1"/>
    <xf numFmtId="0" fontId="0" fillId="0" borderId="24" xfId="0" applyBorder="1"/>
    <xf numFmtId="4" fontId="0" fillId="0" borderId="32" xfId="0" applyNumberFormat="1" applyBorder="1"/>
    <xf numFmtId="0" fontId="17" fillId="0" borderId="40" xfId="0" applyFont="1" applyBorder="1"/>
    <xf numFmtId="49" fontId="17" fillId="0" borderId="47" xfId="0" applyNumberFormat="1" applyFont="1" applyBorder="1" applyAlignment="1">
      <alignment horizontal="right" vertical="top"/>
    </xf>
    <xf numFmtId="0" fontId="17" fillId="0" borderId="48" xfId="0" applyFont="1" applyBorder="1" applyAlignment="1">
      <alignment vertical="top" wrapText="1"/>
    </xf>
    <xf numFmtId="0" fontId="17" fillId="0" borderId="48" xfId="0" applyFont="1" applyBorder="1" applyAlignment="1">
      <alignment horizontal="center"/>
    </xf>
    <xf numFmtId="3" fontId="17" fillId="0" borderId="48" xfId="0" applyNumberFormat="1" applyFont="1" applyBorder="1" applyAlignment="1">
      <alignment horizontal="center"/>
    </xf>
    <xf numFmtId="0" fontId="17" fillId="0" borderId="48" xfId="0" applyFont="1" applyBorder="1"/>
    <xf numFmtId="4" fontId="20" fillId="0" borderId="49" xfId="0" applyNumberFormat="1" applyFont="1" applyBorder="1"/>
    <xf numFmtId="0" fontId="12" fillId="0" borderId="27" xfId="0" applyFont="1" applyBorder="1" applyAlignment="1">
      <alignment horizontal="center" vertical="center" wrapText="1"/>
    </xf>
    <xf numFmtId="0" fontId="0" fillId="0" borderId="24" xfId="0" applyBorder="1" applyAlignment="1">
      <alignment vertical="top"/>
    </xf>
    <xf numFmtId="0" fontId="0" fillId="0" borderId="12" xfId="0" applyBorder="1" applyAlignment="1">
      <alignment wrapText="1"/>
    </xf>
    <xf numFmtId="4" fontId="12" fillId="0" borderId="32" xfId="0" applyNumberFormat="1" applyFont="1" applyBorder="1"/>
    <xf numFmtId="49" fontId="13" fillId="0" borderId="1" xfId="0" applyNumberFormat="1" applyFont="1" applyBorder="1" applyAlignment="1">
      <alignment horizontal="right" vertical="top"/>
    </xf>
    <xf numFmtId="0" fontId="13" fillId="0" borderId="1" xfId="0" applyFont="1" applyBorder="1" applyAlignment="1">
      <alignment vertical="top" wrapText="1"/>
    </xf>
    <xf numFmtId="0" fontId="13" fillId="0" borderId="1" xfId="0" applyFont="1" applyBorder="1" applyAlignment="1">
      <alignment horizontal="center"/>
    </xf>
    <xf numFmtId="3" fontId="13" fillId="0" borderId="1" xfId="0" applyNumberFormat="1" applyFont="1" applyBorder="1" applyAlignment="1">
      <alignment horizontal="center"/>
    </xf>
    <xf numFmtId="0" fontId="0" fillId="0" borderId="1" xfId="0" applyBorder="1"/>
    <xf numFmtId="0" fontId="0" fillId="0" borderId="0" xfId="0" applyAlignment="1">
      <alignment horizontal="center"/>
    </xf>
    <xf numFmtId="0" fontId="13" fillId="0" borderId="38" xfId="0" applyFont="1" applyBorder="1" applyAlignment="1">
      <alignment vertical="top" wrapText="1"/>
    </xf>
    <xf numFmtId="0" fontId="0" fillId="0" borderId="38" xfId="0" applyBorder="1"/>
    <xf numFmtId="0" fontId="12"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35" xfId="0" applyBorder="1"/>
    <xf numFmtId="0" fontId="12" fillId="0" borderId="14" xfId="0" applyFont="1" applyBorder="1"/>
    <xf numFmtId="0" fontId="0" fillId="0" borderId="53" xfId="0" applyBorder="1"/>
    <xf numFmtId="4" fontId="12" fillId="0" borderId="43" xfId="0" applyNumberFormat="1" applyFont="1" applyBorder="1"/>
    <xf numFmtId="0" fontId="0" fillId="0" borderId="24" xfId="0" applyBorder="1" applyAlignment="1">
      <alignment horizontal="right" vertical="top"/>
    </xf>
    <xf numFmtId="0" fontId="0" fillId="0" borderId="34" xfId="0" applyBorder="1" applyAlignment="1">
      <alignment horizontal="center" vertical="top"/>
    </xf>
    <xf numFmtId="0" fontId="0" fillId="0" borderId="12" xfId="0" applyBorder="1" applyAlignment="1">
      <alignment vertical="top" wrapText="1"/>
    </xf>
    <xf numFmtId="49" fontId="0" fillId="0" borderId="24" xfId="0" applyNumberFormat="1" applyBorder="1" applyAlignment="1">
      <alignment horizontal="right"/>
    </xf>
    <xf numFmtId="0" fontId="13" fillId="0" borderId="0" xfId="0" applyFont="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14" xfId="0" applyBorder="1" applyAlignment="1">
      <alignment wrapText="1"/>
    </xf>
    <xf numFmtId="0" fontId="27" fillId="0" borderId="0" xfId="0" applyFont="1" applyAlignment="1">
      <alignment horizontal="justify"/>
    </xf>
    <xf numFmtId="0" fontId="0" fillId="0" borderId="0" xfId="0" applyBorder="1" applyAlignment="1">
      <alignment horizontal="center" vertical="top"/>
    </xf>
    <xf numFmtId="4" fontId="0" fillId="0" borderId="0" xfId="0" applyNumberFormat="1" applyBorder="1"/>
    <xf numFmtId="0" fontId="12" fillId="0" borderId="54"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25" xfId="0" applyFont="1" applyBorder="1" applyAlignment="1">
      <alignment horizontal="center" vertical="center" wrapText="1"/>
    </xf>
    <xf numFmtId="3" fontId="13" fillId="0" borderId="25" xfId="0" applyNumberFormat="1" applyFont="1" applyBorder="1" applyAlignment="1">
      <alignment horizontal="center" vertical="center" wrapText="1"/>
    </xf>
    <xf numFmtId="4" fontId="13" fillId="0" borderId="25" xfId="0" applyNumberFormat="1" applyFont="1" applyBorder="1" applyAlignment="1">
      <alignment horizontal="center" vertical="center" wrapText="1"/>
    </xf>
    <xf numFmtId="4" fontId="13" fillId="0" borderId="25" xfId="0" applyNumberFormat="1" applyFont="1" applyBorder="1" applyAlignment="1">
      <alignment horizontal="right" vertical="center" wrapText="1"/>
    </xf>
    <xf numFmtId="0" fontId="0" fillId="0" borderId="11" xfId="0" applyBorder="1"/>
    <xf numFmtId="4" fontId="12" fillId="0" borderId="11" xfId="0" applyNumberFormat="1" applyFont="1" applyBorder="1" applyAlignment="1"/>
    <xf numFmtId="4" fontId="12" fillId="0" borderId="1" xfId="0" applyNumberFormat="1" applyFont="1" applyBorder="1" applyAlignment="1"/>
    <xf numFmtId="0" fontId="13" fillId="0" borderId="12" xfId="0" applyFont="1" applyBorder="1" applyAlignment="1">
      <alignment horizontal="center" vertical="center" wrapText="1"/>
    </xf>
    <xf numFmtId="4" fontId="13" fillId="0" borderId="12" xfId="0" applyNumberFormat="1" applyFont="1" applyBorder="1" applyAlignment="1">
      <alignment horizontal="center" vertical="center" wrapText="1"/>
    </xf>
    <xf numFmtId="4" fontId="13" fillId="0" borderId="12" xfId="0" applyNumberFormat="1" applyFont="1" applyBorder="1" applyAlignment="1">
      <alignment horizontal="right" vertical="center" wrapText="1"/>
    </xf>
    <xf numFmtId="4" fontId="13" fillId="0" borderId="1" xfId="0" applyNumberFormat="1" applyFont="1" applyBorder="1" applyAlignment="1">
      <alignment horizontal="left" vertical="center" wrapText="1"/>
    </xf>
    <xf numFmtId="4" fontId="13" fillId="0" borderId="1" xfId="0" applyNumberFormat="1" applyFont="1" applyBorder="1" applyAlignment="1">
      <alignment horizontal="center" vertical="center" wrapText="1"/>
    </xf>
    <xf numFmtId="0" fontId="0" fillId="0" borderId="1" xfId="0" applyBorder="1" applyAlignment="1">
      <alignment horizontal="center"/>
    </xf>
    <xf numFmtId="0" fontId="0" fillId="0" borderId="12" xfId="0" applyBorder="1" applyAlignment="1">
      <alignment horizontal="center"/>
    </xf>
    <xf numFmtId="4" fontId="26" fillId="0" borderId="1" xfId="0" applyNumberFormat="1" applyFont="1" applyBorder="1" applyAlignment="1">
      <alignment horizontal="center" vertical="center" wrapText="1"/>
    </xf>
    <xf numFmtId="4" fontId="26" fillId="0" borderId="12" xfId="0" applyNumberFormat="1" applyFont="1" applyBorder="1" applyAlignment="1">
      <alignment horizontal="right" vertical="center" wrapText="1"/>
    </xf>
    <xf numFmtId="0" fontId="26" fillId="0" borderId="1" xfId="0" applyFont="1" applyBorder="1"/>
    <xf numFmtId="4" fontId="29" fillId="0" borderId="1" xfId="0" applyNumberFormat="1" applyFont="1" applyBorder="1" applyAlignment="1"/>
    <xf numFmtId="0" fontId="12" fillId="0" borderId="55" xfId="0" applyFont="1" applyBorder="1" applyAlignment="1">
      <alignment horizontal="left" vertical="center" wrapText="1"/>
    </xf>
    <xf numFmtId="0" fontId="13" fillId="0" borderId="7" xfId="0" applyFont="1" applyBorder="1" applyAlignment="1">
      <alignment vertical="top" wrapText="1"/>
    </xf>
    <xf numFmtId="0" fontId="12" fillId="0" borderId="19" xfId="0" applyFont="1" applyBorder="1" applyAlignment="1">
      <alignment horizontal="left" vertical="center" wrapText="1"/>
    </xf>
    <xf numFmtId="0" fontId="12" fillId="0" borderId="9" xfId="0" applyFont="1" applyBorder="1" applyAlignment="1">
      <alignment horizontal="left" vertical="center" wrapText="1"/>
    </xf>
    <xf numFmtId="0" fontId="13" fillId="0" borderId="9" xfId="0" applyFont="1" applyBorder="1" applyAlignment="1">
      <alignment vertical="top" wrapText="1"/>
    </xf>
    <xf numFmtId="0" fontId="12"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16" xfId="0" applyFont="1" applyBorder="1" applyAlignment="1">
      <alignment horizontal="center"/>
    </xf>
    <xf numFmtId="0" fontId="13" fillId="0" borderId="11" xfId="0" applyFont="1" applyBorder="1" applyAlignment="1">
      <alignment horizontal="center" vertical="center" wrapText="1"/>
    </xf>
    <xf numFmtId="0" fontId="13" fillId="0" borderId="5" xfId="0" applyFont="1" applyBorder="1" applyAlignment="1">
      <alignment vertical="top" wrapText="1"/>
    </xf>
    <xf numFmtId="0" fontId="0" fillId="0" borderId="16" xfId="0" applyBorder="1"/>
    <xf numFmtId="0" fontId="26" fillId="0" borderId="16" xfId="0" applyFont="1" applyBorder="1"/>
    <xf numFmtId="0" fontId="13" fillId="0" borderId="14" xfId="0" applyFont="1" applyBorder="1" applyAlignment="1">
      <alignment horizontal="center" vertical="center" wrapText="1"/>
    </xf>
    <xf numFmtId="4" fontId="29" fillId="0" borderId="16" xfId="0" applyNumberFormat="1" applyFont="1" applyBorder="1" applyAlignment="1"/>
    <xf numFmtId="4" fontId="0" fillId="0" borderId="1" xfId="0" applyNumberFormat="1" applyBorder="1"/>
    <xf numFmtId="0" fontId="26" fillId="0" borderId="0" xfId="0" applyFont="1" applyBorder="1"/>
    <xf numFmtId="4" fontId="12" fillId="0" borderId="0" xfId="0" applyNumberFormat="1" applyFont="1" applyBorder="1" applyAlignment="1"/>
    <xf numFmtId="0" fontId="0" fillId="0" borderId="0" xfId="0" applyBorder="1" applyAlignment="1">
      <alignment horizontal="center"/>
    </xf>
    <xf numFmtId="4" fontId="0" fillId="0" borderId="0" xfId="0" applyNumberFormat="1" applyBorder="1" applyAlignment="1"/>
    <xf numFmtId="0" fontId="29" fillId="0" borderId="1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4" xfId="0" applyFont="1" applyBorder="1" applyAlignment="1">
      <alignment horizontal="left" vertical="center" wrapText="1"/>
    </xf>
    <xf numFmtId="0" fontId="13" fillId="0" borderId="54" xfId="0" applyFont="1" applyBorder="1" applyAlignment="1">
      <alignment horizontal="center" vertical="center" wrapText="1"/>
    </xf>
    <xf numFmtId="3" fontId="26" fillId="0" borderId="54" xfId="0" applyNumberFormat="1" applyFont="1" applyBorder="1" applyAlignment="1">
      <alignment horizontal="center" vertical="center" wrapText="1"/>
    </xf>
    <xf numFmtId="4" fontId="13" fillId="0" borderId="54" xfId="0" applyNumberFormat="1" applyFont="1" applyBorder="1" applyAlignment="1">
      <alignment horizontal="center" vertical="center" wrapText="1"/>
    </xf>
    <xf numFmtId="4" fontId="13" fillId="0" borderId="58" xfId="0" applyNumberFormat="1" applyFont="1" applyBorder="1" applyAlignment="1">
      <alignment horizontal="right" vertical="center" wrapText="1"/>
    </xf>
    <xf numFmtId="0" fontId="0" fillId="0" borderId="47" xfId="0" applyBorder="1"/>
    <xf numFmtId="0" fontId="13" fillId="0" borderId="48" xfId="0" applyFont="1" applyBorder="1" applyAlignment="1">
      <alignment vertical="top" wrapText="1"/>
    </xf>
    <xf numFmtId="0" fontId="0" fillId="0" borderId="48" xfId="0" applyBorder="1"/>
    <xf numFmtId="0" fontId="26" fillId="0" borderId="48" xfId="0" applyFont="1" applyBorder="1"/>
    <xf numFmtId="4" fontId="12" fillId="0" borderId="49" xfId="0" applyNumberFormat="1" applyFont="1" applyBorder="1" applyAlignment="1"/>
    <xf numFmtId="0" fontId="12" fillId="0" borderId="59" xfId="0" applyFont="1" applyBorder="1" applyAlignment="1">
      <alignment horizontal="center" vertical="center" wrapText="1"/>
    </xf>
    <xf numFmtId="0" fontId="12" fillId="0" borderId="60" xfId="0" applyFont="1" applyBorder="1" applyAlignment="1">
      <alignment horizontal="left" vertical="center" wrapText="1"/>
    </xf>
    <xf numFmtId="0" fontId="13" fillId="0" borderId="60" xfId="0" applyFont="1" applyBorder="1" applyAlignment="1">
      <alignment horizontal="center" vertical="center" wrapText="1"/>
    </xf>
    <xf numFmtId="4" fontId="13" fillId="0" borderId="60" xfId="0" applyNumberFormat="1" applyFont="1" applyBorder="1" applyAlignment="1">
      <alignment horizontal="center" vertical="center" wrapText="1"/>
    </xf>
    <xf numFmtId="4" fontId="13" fillId="0" borderId="50" xfId="0" applyNumberFormat="1" applyFont="1" applyBorder="1" applyAlignment="1">
      <alignment horizontal="right" vertical="center" wrapText="1"/>
    </xf>
    <xf numFmtId="0" fontId="0" fillId="0" borderId="51" xfId="0" applyBorder="1"/>
    <xf numFmtId="0" fontId="12" fillId="0" borderId="28" xfId="0" applyFont="1" applyBorder="1" applyAlignment="1">
      <alignment horizontal="center"/>
    </xf>
    <xf numFmtId="4" fontId="13" fillId="0" borderId="54" xfId="0" applyNumberFormat="1" applyFont="1" applyBorder="1" applyAlignment="1">
      <alignment horizontal="left" vertical="center" wrapText="1"/>
    </xf>
    <xf numFmtId="0" fontId="13" fillId="0" borderId="51" xfId="0" applyFont="1" applyBorder="1" applyAlignment="1">
      <alignment horizontal="center" vertical="center" wrapText="1"/>
    </xf>
    <xf numFmtId="3" fontId="26" fillId="0" borderId="52" xfId="0" applyNumberFormat="1" applyFont="1" applyBorder="1" applyAlignment="1">
      <alignment horizontal="center" vertical="center" wrapText="1"/>
    </xf>
    <xf numFmtId="0" fontId="0" fillId="0" borderId="38" xfId="0" applyBorder="1" applyAlignment="1">
      <alignment horizontal="center"/>
    </xf>
    <xf numFmtId="4" fontId="12" fillId="0" borderId="39" xfId="0" applyNumberFormat="1" applyFont="1" applyBorder="1" applyAlignment="1"/>
    <xf numFmtId="0" fontId="26" fillId="0" borderId="38" xfId="0" applyFont="1" applyBorder="1"/>
    <xf numFmtId="4" fontId="12" fillId="0" borderId="27" xfId="0" applyNumberFormat="1" applyFont="1" applyBorder="1" applyAlignment="1"/>
    <xf numFmtId="0" fontId="12" fillId="0" borderId="22" xfId="0" applyFont="1" applyBorder="1" applyAlignment="1">
      <alignment horizontal="center" wrapText="1"/>
    </xf>
    <xf numFmtId="0" fontId="12" fillId="0" borderId="28" xfId="0" applyFont="1" applyBorder="1"/>
    <xf numFmtId="0" fontId="12" fillId="0" borderId="0" xfId="0" applyFont="1" applyAlignment="1">
      <alignment wrapText="1"/>
    </xf>
    <xf numFmtId="0" fontId="0" fillId="0" borderId="29" xfId="0" applyBorder="1"/>
    <xf numFmtId="0" fontId="31" fillId="0" borderId="29" xfId="0" applyFont="1" applyBorder="1" applyAlignment="1">
      <alignment horizontal="center"/>
    </xf>
    <xf numFmtId="0" fontId="0" fillId="0" borderId="29" xfId="0" applyBorder="1" applyAlignment="1">
      <alignment horizontal="center"/>
    </xf>
    <xf numFmtId="4" fontId="12" fillId="0" borderId="29" xfId="0" applyNumberFormat="1" applyFont="1" applyBorder="1" applyAlignment="1">
      <alignment horizontal="right"/>
    </xf>
    <xf numFmtId="0" fontId="0" fillId="0" borderId="12" xfId="0" applyBorder="1" applyAlignment="1">
      <alignment horizontal="center" vertical="center" wrapText="1"/>
    </xf>
    <xf numFmtId="4" fontId="31" fillId="0" borderId="12" xfId="0" applyNumberFormat="1" applyFont="1" applyBorder="1" applyAlignment="1">
      <alignment horizontal="center" vertical="center" wrapText="1"/>
    </xf>
    <xf numFmtId="4" fontId="0" fillId="0" borderId="12" xfId="0" applyNumberFormat="1" applyBorder="1" applyAlignment="1">
      <alignment horizontal="right" vertical="center" wrapText="1"/>
    </xf>
    <xf numFmtId="4" fontId="0" fillId="0" borderId="12" xfId="0" applyNumberFormat="1" applyBorder="1" applyAlignment="1">
      <alignment horizontal="center" vertical="center" wrapText="1"/>
    </xf>
    <xf numFmtId="4" fontId="0" fillId="0" borderId="12" xfId="0" applyNumberFormat="1" applyFill="1" applyBorder="1" applyAlignment="1">
      <alignment vertical="center" wrapText="1"/>
    </xf>
    <xf numFmtId="0" fontId="13" fillId="0" borderId="1" xfId="0" applyFont="1" applyBorder="1" applyAlignment="1">
      <alignment horizontal="center" vertical="center" wrapText="1"/>
    </xf>
    <xf numFmtId="4" fontId="0" fillId="0" borderId="1" xfId="0" applyNumberFormat="1" applyBorder="1" applyAlignment="1">
      <alignment horizontal="center" vertical="center" wrapText="1"/>
    </xf>
    <xf numFmtId="4" fontId="12" fillId="0" borderId="1" xfId="0" applyNumberFormat="1" applyFont="1" applyBorder="1" applyAlignment="1">
      <alignment vertical="center" wrapText="1"/>
    </xf>
    <xf numFmtId="4" fontId="0" fillId="0" borderId="1" xfId="0" applyNumberFormat="1" applyBorder="1" applyAlignment="1">
      <alignment vertical="center" wrapText="1"/>
    </xf>
    <xf numFmtId="0" fontId="32" fillId="0" borderId="12" xfId="0" applyFont="1" applyBorder="1" applyAlignment="1">
      <alignment wrapText="1"/>
    </xf>
    <xf numFmtId="0" fontId="13" fillId="0" borderId="12" xfId="0" applyFont="1" applyFill="1" applyBorder="1" applyAlignment="1">
      <alignment vertical="top" wrapText="1"/>
    </xf>
    <xf numFmtId="0" fontId="13" fillId="0" borderId="12" xfId="0" applyFont="1" applyFill="1" applyBorder="1" applyAlignment="1">
      <alignment horizontal="center" vertical="center" wrapText="1"/>
    </xf>
    <xf numFmtId="4" fontId="31" fillId="0" borderId="12" xfId="0" applyNumberFormat="1" applyFont="1" applyFill="1" applyBorder="1" applyAlignment="1">
      <alignment horizontal="center" vertical="center" wrapText="1"/>
    </xf>
    <xf numFmtId="4" fontId="0" fillId="0" borderId="12" xfId="0" applyNumberFormat="1" applyFill="1" applyBorder="1" applyAlignment="1">
      <alignment horizontal="center" vertical="center" wrapText="1"/>
    </xf>
    <xf numFmtId="0" fontId="0" fillId="0" borderId="17" xfId="0"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center" wrapText="1"/>
    </xf>
    <xf numFmtId="4" fontId="31" fillId="0" borderId="17" xfId="0" applyNumberFormat="1" applyFont="1" applyBorder="1" applyAlignment="1">
      <alignment horizontal="center" vertical="center" wrapText="1"/>
    </xf>
    <xf numFmtId="4" fontId="0" fillId="0" borderId="17" xfId="0" applyNumberFormat="1" applyBorder="1" applyAlignment="1">
      <alignment horizontal="center" vertical="center" wrapText="1"/>
    </xf>
    <xf numFmtId="0" fontId="0" fillId="0" borderId="1" xfId="0" applyBorder="1" applyAlignment="1">
      <alignment vertical="top" wrapText="1"/>
    </xf>
    <xf numFmtId="0" fontId="0" fillId="0" borderId="13" xfId="0" applyBorder="1" applyAlignment="1">
      <alignment vertical="top" wrapText="1"/>
    </xf>
    <xf numFmtId="0" fontId="0" fillId="0" borderId="0" xfId="0" applyAlignment="1"/>
    <xf numFmtId="4" fontId="0" fillId="0" borderId="12" xfId="0" applyNumberFormat="1" applyBorder="1" applyAlignment="1">
      <alignment vertical="center" wrapText="1"/>
    </xf>
    <xf numFmtId="0" fontId="0" fillId="0" borderId="14" xfId="0" applyBorder="1" applyAlignment="1">
      <alignment vertical="top" wrapText="1"/>
    </xf>
    <xf numFmtId="0" fontId="13" fillId="0" borderId="14" xfId="0" applyFont="1" applyBorder="1" applyAlignment="1">
      <alignment vertical="top" wrapText="1"/>
    </xf>
    <xf numFmtId="4" fontId="0" fillId="0" borderId="14" xfId="0" applyNumberFormat="1" applyBorder="1" applyAlignment="1">
      <alignment horizontal="center" vertical="center" wrapText="1"/>
    </xf>
    <xf numFmtId="4" fontId="0" fillId="0" borderId="14" xfId="0" applyNumberFormat="1" applyBorder="1" applyAlignment="1">
      <alignment vertical="center" wrapText="1"/>
    </xf>
    <xf numFmtId="49" fontId="12" fillId="0" borderId="1" xfId="0" applyNumberFormat="1" applyFont="1" applyBorder="1" applyAlignment="1">
      <alignment horizontal="right" wrapText="1"/>
    </xf>
    <xf numFmtId="49" fontId="13" fillId="0" borderId="13" xfId="0" applyNumberFormat="1" applyFont="1" applyBorder="1" applyAlignment="1">
      <alignment horizontal="right" vertical="top" wrapText="1"/>
    </xf>
    <xf numFmtId="0" fontId="13" fillId="0" borderId="13" xfId="0" applyFont="1" applyBorder="1" applyAlignment="1">
      <alignment vertical="top" wrapText="1"/>
    </xf>
    <xf numFmtId="4" fontId="0" fillId="0" borderId="13" xfId="0" applyNumberFormat="1" applyBorder="1" applyAlignment="1">
      <alignment horizontal="center" vertical="center" wrapText="1"/>
    </xf>
    <xf numFmtId="4" fontId="0" fillId="0" borderId="13" xfId="0" applyNumberFormat="1" applyFill="1" applyBorder="1" applyAlignment="1">
      <alignment vertical="center" wrapText="1"/>
    </xf>
    <xf numFmtId="49" fontId="13" fillId="0" borderId="12" xfId="0" applyNumberFormat="1" applyFont="1" applyBorder="1" applyAlignment="1">
      <alignment horizontal="right" vertical="top" wrapText="1"/>
    </xf>
    <xf numFmtId="4" fontId="13" fillId="0" borderId="17" xfId="0" applyNumberFormat="1" applyFont="1" applyBorder="1" applyAlignment="1">
      <alignment horizontal="center" vertical="center" wrapText="1"/>
    </xf>
    <xf numFmtId="49" fontId="13" fillId="0" borderId="17" xfId="0" applyNumberFormat="1" applyFont="1" applyBorder="1" applyAlignment="1">
      <alignment horizontal="right" vertical="top" wrapText="1"/>
    </xf>
    <xf numFmtId="0" fontId="33" fillId="0" borderId="12" xfId="0" applyFont="1" applyBorder="1" applyAlignment="1">
      <alignment horizontal="center" vertical="center" wrapText="1"/>
    </xf>
    <xf numFmtId="0" fontId="13" fillId="0" borderId="17" xfId="0" applyFont="1" applyBorder="1" applyAlignment="1">
      <alignment wrapText="1"/>
    </xf>
    <xf numFmtId="49" fontId="0" fillId="0" borderId="0" xfId="0" applyNumberFormat="1" applyBorder="1" applyAlignment="1">
      <alignment horizontal="right" vertical="top" wrapText="1"/>
    </xf>
    <xf numFmtId="0" fontId="13" fillId="0" borderId="0" xfId="0" applyFont="1" applyBorder="1" applyAlignment="1">
      <alignment wrapText="1"/>
    </xf>
    <xf numFmtId="0" fontId="0" fillId="0" borderId="0" xfId="0" applyBorder="1" applyAlignment="1">
      <alignment horizontal="center" vertical="center" wrapText="1"/>
    </xf>
    <xf numFmtId="4" fontId="13" fillId="0" borderId="0" xfId="0" applyNumberFormat="1" applyFont="1" applyBorder="1" applyAlignment="1">
      <alignment horizontal="center" vertical="center" wrapText="1"/>
    </xf>
    <xf numFmtId="49" fontId="13" fillId="0" borderId="0" xfId="0" applyNumberFormat="1" applyFont="1" applyBorder="1" applyAlignment="1">
      <alignment horizontal="right" vertical="top"/>
    </xf>
    <xf numFmtId="0" fontId="13" fillId="0" borderId="0" xfId="0" applyFont="1" applyBorder="1" applyAlignment="1">
      <alignment horizontal="center"/>
    </xf>
    <xf numFmtId="3" fontId="13" fillId="0" borderId="0" xfId="0" applyNumberFormat="1" applyFont="1" applyBorder="1" applyAlignment="1">
      <alignment horizontal="center"/>
    </xf>
    <xf numFmtId="49" fontId="0" fillId="0" borderId="0" xfId="0" applyNumberFormat="1" applyBorder="1" applyAlignment="1">
      <alignment horizontal="right" vertical="top"/>
    </xf>
    <xf numFmtId="3" fontId="0" fillId="0" borderId="0" xfId="0" applyNumberFormat="1" applyBorder="1" applyAlignment="1">
      <alignment horizontal="center"/>
    </xf>
    <xf numFmtId="0" fontId="12" fillId="0" borderId="1" xfId="0" applyFont="1" applyBorder="1" applyAlignment="1">
      <alignment vertical="top" wrapText="1"/>
    </xf>
    <xf numFmtId="0" fontId="34" fillId="0" borderId="0" xfId="0" applyFont="1"/>
    <xf numFmtId="0" fontId="10" fillId="0" borderId="0" xfId="0" applyFont="1" applyAlignment="1">
      <alignment horizontal="center"/>
    </xf>
    <xf numFmtId="0" fontId="12" fillId="0" borderId="12" xfId="0" applyFont="1" applyBorder="1" applyAlignment="1"/>
    <xf numFmtId="0" fontId="35" fillId="0" borderId="17" xfId="0" applyFont="1" applyBorder="1" applyAlignment="1">
      <alignment wrapText="1"/>
    </xf>
    <xf numFmtId="0" fontId="0" fillId="0" borderId="17" xfId="0" applyBorder="1" applyAlignment="1">
      <alignment horizontal="center"/>
    </xf>
    <xf numFmtId="3" fontId="0" fillId="0" borderId="12" xfId="0" applyNumberFormat="1" applyBorder="1" applyAlignment="1">
      <alignment horizontal="center"/>
    </xf>
    <xf numFmtId="4" fontId="0" fillId="0" borderId="13" xfId="0" applyNumberFormat="1" applyBorder="1" applyAlignment="1">
      <alignment horizontal="right"/>
    </xf>
    <xf numFmtId="0" fontId="0" fillId="0" borderId="12" xfId="0" applyBorder="1" applyAlignment="1">
      <alignment vertical="top"/>
    </xf>
    <xf numFmtId="0" fontId="0" fillId="0" borderId="20" xfId="0" applyBorder="1" applyAlignment="1">
      <alignment horizontal="center"/>
    </xf>
    <xf numFmtId="4" fontId="31" fillId="0" borderId="12" xfId="0" applyNumberFormat="1" applyFont="1" applyBorder="1" applyAlignment="1">
      <alignment horizontal="center"/>
    </xf>
    <xf numFmtId="4" fontId="0" fillId="0" borderId="12" xfId="0" applyNumberFormat="1" applyBorder="1" applyAlignment="1">
      <alignment horizontal="center"/>
    </xf>
    <xf numFmtId="0" fontId="0" fillId="0" borderId="19" xfId="0" applyBorder="1" applyAlignment="1">
      <alignment horizontal="center"/>
    </xf>
    <xf numFmtId="4" fontId="36" fillId="0" borderId="12" xfId="0" applyNumberFormat="1" applyFont="1" applyBorder="1" applyAlignment="1">
      <alignment horizontal="center"/>
    </xf>
    <xf numFmtId="0" fontId="0" fillId="0" borderId="17" xfId="0" applyBorder="1" applyAlignment="1">
      <alignment vertical="top"/>
    </xf>
    <xf numFmtId="4" fontId="31" fillId="0" borderId="17" xfId="0" applyNumberFormat="1" applyFont="1" applyBorder="1" applyAlignment="1">
      <alignment horizontal="center"/>
    </xf>
    <xf numFmtId="4" fontId="0" fillId="0" borderId="17" xfId="0" applyNumberFormat="1" applyBorder="1" applyAlignment="1">
      <alignment horizontal="center"/>
    </xf>
    <xf numFmtId="4" fontId="0" fillId="0" borderId="14" xfId="0" applyNumberFormat="1" applyBorder="1" applyAlignment="1">
      <alignment horizontal="right"/>
    </xf>
    <xf numFmtId="49" fontId="15" fillId="0" borderId="12" xfId="0" applyNumberFormat="1" applyFont="1" applyBorder="1" applyAlignment="1">
      <alignment horizontal="right" vertical="top"/>
    </xf>
    <xf numFmtId="0" fontId="13" fillId="0" borderId="1" xfId="0" applyFont="1" applyBorder="1" applyAlignment="1">
      <alignment wrapText="1"/>
    </xf>
    <xf numFmtId="4" fontId="0" fillId="0" borderId="1" xfId="0" applyNumberFormat="1" applyBorder="1" applyAlignment="1">
      <alignment horizontal="center"/>
    </xf>
    <xf numFmtId="4" fontId="12" fillId="0" borderId="1" xfId="0" applyNumberFormat="1" applyFont="1" applyBorder="1" applyAlignment="1">
      <alignment horizontal="right"/>
    </xf>
    <xf numFmtId="49" fontId="15" fillId="0" borderId="42" xfId="0" applyNumberFormat="1" applyFont="1" applyBorder="1" applyAlignment="1">
      <alignment horizontal="right" vertical="top"/>
    </xf>
    <xf numFmtId="0" fontId="13" fillId="0" borderId="14" xfId="0" applyFont="1" applyBorder="1" applyAlignment="1">
      <alignment wrapText="1"/>
    </xf>
    <xf numFmtId="0" fontId="0" fillId="0" borderId="14" xfId="0" applyBorder="1" applyAlignment="1">
      <alignment horizontal="center"/>
    </xf>
    <xf numFmtId="4" fontId="0" fillId="0" borderId="14" xfId="0" applyNumberFormat="1" applyBorder="1" applyAlignment="1">
      <alignment horizontal="center"/>
    </xf>
    <xf numFmtId="4" fontId="12" fillId="0" borderId="14" xfId="0" applyNumberFormat="1" applyFont="1" applyBorder="1" applyAlignment="1">
      <alignment horizontal="right"/>
    </xf>
    <xf numFmtId="0" fontId="0" fillId="0" borderId="42" xfId="0" applyBorder="1" applyAlignment="1">
      <alignment horizontal="center"/>
    </xf>
    <xf numFmtId="4" fontId="31" fillId="0" borderId="14" xfId="0" applyNumberFormat="1" applyFont="1" applyBorder="1" applyAlignment="1">
      <alignment horizontal="center"/>
    </xf>
    <xf numFmtId="4" fontId="0" fillId="0" borderId="0" xfId="0" applyNumberFormat="1" applyBorder="1" applyAlignment="1">
      <alignment horizontal="right"/>
    </xf>
    <xf numFmtId="4" fontId="12" fillId="0" borderId="0" xfId="0" applyNumberFormat="1" applyFont="1" applyBorder="1" applyAlignment="1">
      <alignment horizontal="right"/>
    </xf>
    <xf numFmtId="0" fontId="12" fillId="0" borderId="40" xfId="0" applyFont="1" applyBorder="1" applyAlignment="1"/>
    <xf numFmtId="0" fontId="12" fillId="0" borderId="54" xfId="0" applyFont="1" applyBorder="1" applyAlignment="1">
      <alignment wrapText="1"/>
    </xf>
    <xf numFmtId="0" fontId="0" fillId="0" borderId="13" xfId="0" applyBorder="1" applyAlignment="1">
      <alignment horizontal="center" vertical="top"/>
    </xf>
    <xf numFmtId="4" fontId="13" fillId="0" borderId="13" xfId="0" applyNumberFormat="1" applyFont="1" applyBorder="1" applyAlignment="1">
      <alignment horizontal="center"/>
    </xf>
    <xf numFmtId="4" fontId="0" fillId="0" borderId="13" xfId="0" applyNumberFormat="1" applyBorder="1" applyAlignment="1">
      <alignment horizontal="center"/>
    </xf>
    <xf numFmtId="0" fontId="0" fillId="0" borderId="12" xfId="0" applyBorder="1" applyAlignment="1">
      <alignment horizontal="center" vertical="center"/>
    </xf>
    <xf numFmtId="4" fontId="13" fillId="0" borderId="12" xfId="0" applyNumberFormat="1" applyFont="1" applyBorder="1" applyAlignment="1">
      <alignment horizontal="center" vertical="center"/>
    </xf>
    <xf numFmtId="4" fontId="0" fillId="0" borderId="12" xfId="0" applyNumberFormat="1" applyBorder="1" applyAlignment="1">
      <alignment horizontal="center" vertical="center"/>
    </xf>
    <xf numFmtId="0" fontId="0" fillId="0" borderId="63" xfId="0" applyBorder="1" applyAlignment="1">
      <alignment vertical="top"/>
    </xf>
    <xf numFmtId="0" fontId="0" fillId="0" borderId="1" xfId="0" applyBorder="1" applyAlignment="1">
      <alignment horizontal="center" vertical="center"/>
    </xf>
    <xf numFmtId="4" fontId="13" fillId="0" borderId="1" xfId="0" applyNumberFormat="1" applyFont="1" applyBorder="1" applyAlignment="1">
      <alignment horizontal="center" vertical="center"/>
    </xf>
    <xf numFmtId="4" fontId="0" fillId="0" borderId="1" xfId="0" applyNumberFormat="1" applyBorder="1" applyAlignment="1">
      <alignment horizontal="center" vertical="center"/>
    </xf>
    <xf numFmtId="0" fontId="0" fillId="0" borderId="23" xfId="0" applyBorder="1" applyAlignment="1">
      <alignment vertical="top"/>
    </xf>
    <xf numFmtId="0" fontId="0" fillId="0" borderId="13" xfId="0" applyBorder="1" applyAlignment="1">
      <alignment horizontal="center" vertical="center"/>
    </xf>
    <xf numFmtId="4" fontId="0" fillId="0" borderId="13" xfId="0" applyNumberFormat="1" applyBorder="1" applyAlignment="1">
      <alignment horizontal="center" vertical="center"/>
    </xf>
    <xf numFmtId="4" fontId="12" fillId="0" borderId="13" xfId="0" applyNumberFormat="1" applyFont="1" applyBorder="1" applyAlignment="1">
      <alignment horizontal="right"/>
    </xf>
    <xf numFmtId="0" fontId="12" fillId="0" borderId="24" xfId="0" applyFont="1" applyBorder="1" applyAlignment="1"/>
    <xf numFmtId="4" fontId="31" fillId="0" borderId="12" xfId="0" applyNumberFormat="1" applyFont="1" applyBorder="1" applyAlignment="1">
      <alignment horizontal="center" vertical="center"/>
    </xf>
    <xf numFmtId="0" fontId="0" fillId="0" borderId="44" xfId="0" applyBorder="1" applyAlignment="1">
      <alignment vertical="top"/>
    </xf>
    <xf numFmtId="0" fontId="0" fillId="0" borderId="20" xfId="0" applyBorder="1" applyAlignment="1">
      <alignment horizontal="center" vertical="center"/>
    </xf>
    <xf numFmtId="4" fontId="31" fillId="0" borderId="17" xfId="0" applyNumberFormat="1" applyFont="1" applyBorder="1" applyAlignment="1">
      <alignment horizontal="center" vertical="center"/>
    </xf>
    <xf numFmtId="4" fontId="36" fillId="0" borderId="17" xfId="0" applyNumberFormat="1" applyFont="1" applyBorder="1" applyAlignment="1">
      <alignment horizontal="center" vertical="center"/>
    </xf>
    <xf numFmtId="0" fontId="0" fillId="0" borderId="64" xfId="0" applyBorder="1" applyAlignment="1">
      <alignment vertical="top"/>
    </xf>
    <xf numFmtId="0" fontId="0" fillId="0" borderId="9" xfId="0" applyFill="1" applyBorder="1" applyAlignment="1">
      <alignment horizontal="center" vertical="center"/>
    </xf>
    <xf numFmtId="0" fontId="0" fillId="0" borderId="65" xfId="0" applyBorder="1" applyAlignment="1">
      <alignment vertical="top"/>
    </xf>
    <xf numFmtId="0" fontId="0" fillId="0" borderId="11" xfId="0" applyBorder="1" applyAlignment="1">
      <alignment wrapText="1"/>
    </xf>
    <xf numFmtId="0" fontId="0" fillId="0" borderId="11" xfId="0" applyBorder="1" applyAlignment="1">
      <alignment horizontal="center" vertical="center"/>
    </xf>
    <xf numFmtId="4" fontId="0" fillId="0" borderId="11" xfId="0" applyNumberFormat="1" applyBorder="1" applyAlignment="1">
      <alignment horizontal="center" vertical="center"/>
    </xf>
    <xf numFmtId="4" fontId="0" fillId="0" borderId="11" xfId="0" applyNumberFormat="1" applyBorder="1" applyAlignment="1">
      <alignment horizontal="right"/>
    </xf>
    <xf numFmtId="0" fontId="12" fillId="0" borderId="17" xfId="0" applyFont="1" applyBorder="1" applyAlignment="1">
      <alignment wrapText="1"/>
    </xf>
    <xf numFmtId="0" fontId="0" fillId="0" borderId="41" xfId="0" applyBorder="1" applyAlignment="1">
      <alignment vertical="top"/>
    </xf>
    <xf numFmtId="4" fontId="13" fillId="0" borderId="12" xfId="0" applyNumberFormat="1" applyFont="1" applyBorder="1" applyAlignment="1">
      <alignment horizontal="center"/>
    </xf>
    <xf numFmtId="0" fontId="0" fillId="0" borderId="0" xfId="0" applyBorder="1" applyAlignment="1">
      <alignment vertical="top"/>
    </xf>
    <xf numFmtId="49" fontId="0" fillId="0" borderId="1" xfId="0" applyNumberFormat="1" applyBorder="1" applyAlignment="1">
      <alignment horizontal="right" vertical="top" wrapText="1"/>
    </xf>
    <xf numFmtId="0" fontId="0" fillId="0" borderId="1" xfId="0"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0" xfId="0" applyFont="1" applyAlignment="1"/>
    <xf numFmtId="0" fontId="0" fillId="0" borderId="1" xfId="0" applyFill="1" applyBorder="1" applyAlignment="1">
      <alignment horizontal="center" vertical="center"/>
    </xf>
    <xf numFmtId="4" fontId="13" fillId="0" borderId="10" xfId="0" applyNumberFormat="1" applyFont="1" applyBorder="1" applyAlignment="1">
      <alignment vertical="center" wrapText="1"/>
    </xf>
    <xf numFmtId="4" fontId="13" fillId="0" borderId="12" xfId="0" applyNumberFormat="1" applyFont="1" applyBorder="1" applyAlignment="1">
      <alignment vertical="center" wrapText="1"/>
    </xf>
    <xf numFmtId="4" fontId="13" fillId="0" borderId="25" xfId="0" applyNumberFormat="1" applyFont="1" applyBorder="1" applyAlignment="1">
      <alignment vertical="center" wrapText="1"/>
    </xf>
    <xf numFmtId="0" fontId="13" fillId="0" borderId="29" xfId="0" applyFont="1" applyBorder="1"/>
    <xf numFmtId="0" fontId="13" fillId="0" borderId="29" xfId="0" applyFont="1" applyBorder="1" applyAlignment="1">
      <alignment horizontal="center"/>
    </xf>
    <xf numFmtId="0" fontId="33" fillId="0" borderId="12" xfId="0" applyFont="1" applyBorder="1" applyAlignment="1">
      <alignment vertical="top" wrapText="1"/>
    </xf>
    <xf numFmtId="49" fontId="0" fillId="0" borderId="3" xfId="0" applyNumberFormat="1" applyBorder="1" applyAlignment="1">
      <alignment horizontal="right" vertical="top" wrapText="1"/>
    </xf>
    <xf numFmtId="0" fontId="13" fillId="0" borderId="3" xfId="0" applyFont="1" applyBorder="1" applyAlignment="1">
      <alignment wrapText="1"/>
    </xf>
    <xf numFmtId="0" fontId="0" fillId="0" borderId="3" xfId="0" applyBorder="1" applyAlignment="1">
      <alignment horizontal="center" vertical="center" wrapText="1"/>
    </xf>
    <xf numFmtId="4" fontId="13" fillId="0" borderId="3" xfId="0" applyNumberFormat="1" applyFont="1" applyBorder="1" applyAlignment="1">
      <alignment horizontal="center" vertical="center" wrapText="1"/>
    </xf>
    <xf numFmtId="4" fontId="12" fillId="0" borderId="3" xfId="0" applyNumberFormat="1" applyFont="1" applyBorder="1" applyAlignment="1">
      <alignment vertical="center" wrapText="1"/>
    </xf>
    <xf numFmtId="49" fontId="0" fillId="0" borderId="26" xfId="0" applyNumberFormat="1" applyBorder="1" applyAlignment="1">
      <alignment horizontal="right" vertical="top" wrapText="1"/>
    </xf>
    <xf numFmtId="0" fontId="13" fillId="0" borderId="26" xfId="0" applyFont="1" applyBorder="1" applyAlignment="1">
      <alignment wrapText="1"/>
    </xf>
    <xf numFmtId="0" fontId="0" fillId="0" borderId="26" xfId="0" applyBorder="1" applyAlignment="1">
      <alignment horizontal="center" vertical="center" wrapText="1"/>
    </xf>
    <xf numFmtId="4" fontId="13" fillId="0" borderId="26" xfId="0" applyNumberFormat="1" applyFont="1" applyBorder="1" applyAlignment="1">
      <alignment horizontal="center" vertical="center" wrapText="1"/>
    </xf>
    <xf numFmtId="4" fontId="12" fillId="0" borderId="26" xfId="0" applyNumberFormat="1" applyFont="1" applyBorder="1" applyAlignment="1">
      <alignment vertical="center" wrapText="1"/>
    </xf>
    <xf numFmtId="4" fontId="26" fillId="0" borderId="12" xfId="0" applyNumberFormat="1" applyFont="1" applyBorder="1" applyAlignment="1">
      <alignment horizontal="center" vertical="center" wrapText="1"/>
    </xf>
    <xf numFmtId="4" fontId="12" fillId="0" borderId="12" xfId="0" applyNumberFormat="1" applyFont="1" applyBorder="1" applyAlignment="1">
      <alignment horizontal="right" vertical="center" wrapText="1"/>
    </xf>
    <xf numFmtId="0" fontId="33" fillId="0" borderId="12" xfId="0" applyFont="1" applyFill="1" applyBorder="1" applyAlignment="1">
      <alignment vertical="top" wrapText="1"/>
    </xf>
    <xf numFmtId="0" fontId="0" fillId="0" borderId="12" xfId="0" applyFill="1" applyBorder="1" applyAlignment="1">
      <alignment horizontal="center" vertical="center" wrapText="1"/>
    </xf>
    <xf numFmtId="4" fontId="26" fillId="0" borderId="12" xfId="0" applyNumberFormat="1" applyFont="1" applyFill="1" applyBorder="1" applyAlignment="1">
      <alignment horizontal="center" vertical="center" wrapText="1"/>
    </xf>
    <xf numFmtId="49" fontId="15" fillId="0" borderId="12" xfId="0" applyNumberFormat="1" applyFont="1" applyBorder="1" applyAlignment="1">
      <alignment horizontal="right" vertical="top" wrapText="1"/>
    </xf>
    <xf numFmtId="4" fontId="36" fillId="0" borderId="12" xfId="0" applyNumberFormat="1" applyFont="1" applyBorder="1" applyAlignment="1">
      <alignment horizontal="center" vertical="center" wrapText="1"/>
    </xf>
    <xf numFmtId="0" fontId="33" fillId="0" borderId="14" xfId="0" applyFont="1" applyBorder="1" applyAlignment="1">
      <alignment vertical="top" wrapText="1"/>
    </xf>
    <xf numFmtId="0" fontId="0" fillId="0" borderId="14" xfId="0" applyFill="1" applyBorder="1" applyAlignment="1">
      <alignment horizontal="center" vertical="center" wrapText="1"/>
    </xf>
    <xf numFmtId="4" fontId="31" fillId="0" borderId="14" xfId="0" applyNumberFormat="1" applyFont="1" applyBorder="1" applyAlignment="1">
      <alignment horizontal="center" vertical="center" wrapText="1"/>
    </xf>
    <xf numFmtId="4" fontId="36" fillId="0" borderId="14" xfId="0" applyNumberFormat="1" applyFont="1" applyBorder="1" applyAlignment="1">
      <alignment horizontal="center" vertical="center" wrapText="1"/>
    </xf>
    <xf numFmtId="4" fontId="0" fillId="0" borderId="14" xfId="0" applyNumberFormat="1" applyBorder="1" applyAlignment="1">
      <alignment horizontal="right" vertical="center" wrapText="1"/>
    </xf>
    <xf numFmtId="49" fontId="12" fillId="0" borderId="12" xfId="0" applyNumberFormat="1" applyFont="1" applyBorder="1" applyAlignment="1">
      <alignment horizontal="right" vertical="top" wrapText="1"/>
    </xf>
    <xf numFmtId="0" fontId="37" fillId="0" borderId="12" xfId="0" applyFont="1" applyBorder="1" applyAlignment="1">
      <alignment horizontal="center" vertical="center" wrapText="1"/>
    </xf>
    <xf numFmtId="49" fontId="12" fillId="0" borderId="12" xfId="0" applyNumberFormat="1" applyFont="1" applyBorder="1" applyAlignment="1">
      <alignment horizontal="right" wrapText="1"/>
    </xf>
    <xf numFmtId="0" fontId="32" fillId="0" borderId="34" xfId="0" applyFont="1" applyBorder="1" applyAlignment="1">
      <alignment horizontal="left" wrapText="1"/>
    </xf>
    <xf numFmtId="0" fontId="32" fillId="0" borderId="19" xfId="0" applyFont="1" applyBorder="1" applyAlignment="1">
      <alignment horizontal="left" wrapText="1"/>
    </xf>
    <xf numFmtId="2" fontId="33" fillId="0" borderId="12" xfId="0" applyNumberFormat="1" applyFont="1" applyBorder="1" applyAlignment="1">
      <alignment horizontal="center" vertical="center" wrapText="1"/>
    </xf>
    <xf numFmtId="0" fontId="33" fillId="0" borderId="12" xfId="0" applyFont="1" applyBorder="1" applyAlignment="1">
      <alignment wrapText="1"/>
    </xf>
    <xf numFmtId="49" fontId="15" fillId="0" borderId="17" xfId="0" applyNumberFormat="1" applyFont="1" applyBorder="1" applyAlignment="1">
      <alignment horizontal="right" vertical="top"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4" fontId="13" fillId="0" borderId="14" xfId="0" applyNumberFormat="1" applyFont="1" applyBorder="1" applyAlignment="1">
      <alignment horizontal="center" vertical="center" wrapText="1"/>
    </xf>
    <xf numFmtId="3" fontId="12" fillId="0" borderId="1" xfId="0" applyNumberFormat="1" applyFont="1" applyBorder="1" applyAlignment="1">
      <alignment vertical="center" wrapText="1"/>
    </xf>
    <xf numFmtId="0" fontId="33" fillId="0" borderId="0" xfId="0" applyFont="1"/>
    <xf numFmtId="0" fontId="38" fillId="0" borderId="0" xfId="0" applyFont="1"/>
    <xf numFmtId="0" fontId="39" fillId="0" borderId="0" xfId="0" applyFont="1"/>
    <xf numFmtId="0" fontId="12" fillId="0" borderId="14" xfId="0" applyFont="1" applyBorder="1" applyAlignment="1">
      <alignment horizontal="center"/>
    </xf>
    <xf numFmtId="0" fontId="12" fillId="0" borderId="21" xfId="0" applyFont="1" applyBorder="1" applyAlignment="1">
      <alignment horizontal="center"/>
    </xf>
    <xf numFmtId="0" fontId="12" fillId="0" borderId="27" xfId="0" applyFont="1" applyBorder="1" applyAlignment="1">
      <alignment horizontal="center"/>
    </xf>
    <xf numFmtId="0" fontId="34" fillId="0" borderId="11" xfId="0" applyFont="1" applyBorder="1" applyAlignment="1">
      <alignment horizontal="center" vertical="top"/>
    </xf>
    <xf numFmtId="0" fontId="34" fillId="0" borderId="11" xfId="0" applyFont="1" applyBorder="1" applyAlignment="1">
      <alignment vertical="top" wrapText="1"/>
    </xf>
    <xf numFmtId="165" fontId="34" fillId="0" borderId="11" xfId="0" applyNumberFormat="1" applyFont="1" applyFill="1" applyBorder="1" applyAlignment="1">
      <alignment horizontal="center" vertical="top"/>
    </xf>
    <xf numFmtId="165" fontId="34" fillId="0" borderId="11" xfId="0" applyNumberFormat="1" applyFont="1" applyBorder="1" applyAlignment="1">
      <alignment horizontal="center" vertical="top"/>
    </xf>
    <xf numFmtId="165" fontId="10" fillId="0" borderId="1" xfId="0" applyNumberFormat="1" applyFont="1" applyBorder="1" applyAlignment="1">
      <alignment horizontal="center"/>
    </xf>
    <xf numFmtId="0" fontId="34" fillId="0" borderId="0" xfId="0" applyFont="1" applyAlignment="1">
      <alignment horizontal="center"/>
    </xf>
    <xf numFmtId="165" fontId="34" fillId="0" borderId="0" xfId="0" applyNumberFormat="1" applyFont="1" applyAlignment="1">
      <alignment horizontal="center"/>
    </xf>
    <xf numFmtId="165" fontId="10" fillId="0" borderId="0" xfId="0" applyNumberFormat="1" applyFont="1" applyAlignment="1">
      <alignment horizontal="center"/>
    </xf>
    <xf numFmtId="165" fontId="13" fillId="0" borderId="0" xfId="0" applyNumberFormat="1" applyFont="1"/>
    <xf numFmtId="165" fontId="12" fillId="0" borderId="0" xfId="0" applyNumberFormat="1" applyFont="1" applyAlignment="1">
      <alignment horizontal="center"/>
    </xf>
    <xf numFmtId="0" fontId="40" fillId="0" borderId="16" xfId="0" applyFont="1" applyBorder="1" applyAlignment="1">
      <alignment horizontal="center"/>
    </xf>
    <xf numFmtId="0" fontId="40" fillId="0" borderId="14" xfId="0" applyFont="1" applyBorder="1" applyAlignment="1">
      <alignment horizontal="center"/>
    </xf>
    <xf numFmtId="0" fontId="41" fillId="0" borderId="0" xfId="0" applyFont="1"/>
    <xf numFmtId="0" fontId="13" fillId="0" borderId="53" xfId="0" applyFont="1" applyBorder="1"/>
    <xf numFmtId="0" fontId="13" fillId="0" borderId="14" xfId="0" applyFont="1" applyFill="1" applyBorder="1"/>
    <xf numFmtId="4" fontId="14" fillId="0" borderId="42" xfId="0" applyNumberFormat="1" applyFont="1" applyBorder="1"/>
    <xf numFmtId="4" fontId="0" fillId="0" borderId="32" xfId="0" applyNumberFormat="1" applyBorder="1" applyAlignment="1">
      <alignment horizontal="center"/>
    </xf>
    <xf numFmtId="4" fontId="23" fillId="0" borderId="32" xfId="0" applyNumberFormat="1" applyFont="1" applyBorder="1" applyAlignment="1">
      <alignment horizontal="center"/>
    </xf>
    <xf numFmtId="4" fontId="17" fillId="0" borderId="32" xfId="0" applyNumberFormat="1" applyFont="1" applyBorder="1" applyAlignment="1">
      <alignment horizontal="center"/>
    </xf>
    <xf numFmtId="2" fontId="2" fillId="0" borderId="2" xfId="0" applyNumberFormat="1" applyFont="1" applyBorder="1" applyAlignment="1">
      <alignment horizontal="center"/>
    </xf>
    <xf numFmtId="2" fontId="8" fillId="0" borderId="2" xfId="0" applyNumberFormat="1" applyFont="1" applyBorder="1" applyAlignment="1">
      <alignment horizontal="left"/>
    </xf>
    <xf numFmtId="0" fontId="12" fillId="0" borderId="0" xfId="0" applyFont="1" applyAlignment="1">
      <alignment horizontal="center"/>
    </xf>
    <xf numFmtId="0" fontId="19" fillId="0" borderId="0" xfId="0" applyFont="1" applyAlignment="1">
      <alignment horizontal="center"/>
    </xf>
    <xf numFmtId="2" fontId="2" fillId="0" borderId="2" xfId="0" applyNumberFormat="1" applyFont="1" applyBorder="1" applyAlignment="1">
      <alignment horizontal="center"/>
    </xf>
    <xf numFmtId="2" fontId="8" fillId="0" borderId="2" xfId="0" applyNumberFormat="1" applyFont="1" applyBorder="1" applyAlignment="1">
      <alignment horizontal="left"/>
    </xf>
    <xf numFmtId="0" fontId="12" fillId="0" borderId="0" xfId="0" applyFont="1" applyAlignment="1">
      <alignment horizontal="center"/>
    </xf>
    <xf numFmtId="0" fontId="12" fillId="0" borderId="8" xfId="0" applyFont="1" applyBorder="1" applyAlignment="1">
      <alignment vertical="center"/>
    </xf>
    <xf numFmtId="0" fontId="12" fillId="0" borderId="15" xfId="0" applyFont="1" applyBorder="1" applyAlignment="1">
      <alignment vertical="center"/>
    </xf>
    <xf numFmtId="0" fontId="12" fillId="0" borderId="9" xfId="0" applyFont="1" applyBorder="1" applyAlignment="1">
      <alignment vertical="center"/>
    </xf>
    <xf numFmtId="0" fontId="12" fillId="0" borderId="8" xfId="0" applyFont="1" applyBorder="1" applyAlignment="1"/>
    <xf numFmtId="0" fontId="12" fillId="0" borderId="15" xfId="0" applyFont="1" applyBorder="1" applyAlignment="1"/>
    <xf numFmtId="0" fontId="12" fillId="0" borderId="9" xfId="0" applyFont="1" applyBorder="1" applyAlignment="1"/>
    <xf numFmtId="0" fontId="0" fillId="0" borderId="17" xfId="0" applyBorder="1" applyAlignment="1">
      <alignment vertical="center"/>
    </xf>
    <xf numFmtId="0" fontId="13" fillId="0" borderId="17" xfId="0" applyFont="1" applyBorder="1" applyAlignment="1">
      <alignment vertical="center" wrapText="1"/>
    </xf>
    <xf numFmtId="0" fontId="13" fillId="0" borderId="17" xfId="0" applyFont="1" applyBorder="1" applyAlignment="1">
      <alignment vertical="center"/>
    </xf>
    <xf numFmtId="3" fontId="0" fillId="0" borderId="17" xfId="0" applyNumberFormat="1" applyBorder="1" applyAlignment="1">
      <alignment vertical="center"/>
    </xf>
    <xf numFmtId="4" fontId="0" fillId="0" borderId="17" xfId="0" applyNumberFormat="1" applyBorder="1" applyAlignment="1">
      <alignment vertical="center"/>
    </xf>
    <xf numFmtId="0" fontId="13" fillId="0" borderId="16" xfId="0" applyFont="1" applyBorder="1"/>
    <xf numFmtId="4" fontId="0" fillId="0" borderId="16" xfId="0" applyNumberFormat="1" applyBorder="1"/>
    <xf numFmtId="4" fontId="13" fillId="0" borderId="16" xfId="0" applyNumberFormat="1" applyFont="1" applyBorder="1"/>
    <xf numFmtId="4" fontId="17" fillId="0" borderId="0" xfId="0" applyNumberFormat="1" applyFont="1"/>
    <xf numFmtId="0" fontId="42" fillId="0" borderId="0" xfId="0" applyFont="1" applyFill="1" applyBorder="1" applyAlignment="1">
      <alignment horizontal="right" wrapText="1"/>
    </xf>
    <xf numFmtId="0" fontId="42" fillId="0" borderId="0" xfId="0" applyFont="1" applyAlignment="1">
      <alignment horizontal="right"/>
    </xf>
    <xf numFmtId="4" fontId="12" fillId="0" borderId="1" xfId="0" applyNumberFormat="1" applyFont="1" applyBorder="1"/>
    <xf numFmtId="0" fontId="12" fillId="0" borderId="68" xfId="0" applyFont="1" applyBorder="1" applyAlignment="1">
      <alignment horizontal="center" wrapText="1"/>
    </xf>
    <xf numFmtId="0" fontId="12" fillId="0" borderId="29" xfId="0" applyFont="1" applyBorder="1" applyAlignment="1">
      <alignment horizontal="center"/>
    </xf>
    <xf numFmtId="0" fontId="0" fillId="0" borderId="69" xfId="0" applyBorder="1" applyAlignment="1">
      <alignment horizontal="center"/>
    </xf>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horizontal="center" vertical="top"/>
    </xf>
    <xf numFmtId="4" fontId="15" fillId="0" borderId="1" xfId="0" applyNumberFormat="1" applyFont="1" applyBorder="1"/>
    <xf numFmtId="49" fontId="0" fillId="0" borderId="1" xfId="0" applyNumberFormat="1" applyBorder="1" applyAlignment="1">
      <alignment horizontal="right" vertical="top"/>
    </xf>
    <xf numFmtId="0" fontId="26" fillId="0" borderId="1" xfId="0" applyFont="1" applyBorder="1" applyAlignment="1">
      <alignment wrapText="1"/>
    </xf>
    <xf numFmtId="4" fontId="13" fillId="0" borderId="1" xfId="0" applyNumberFormat="1" applyFont="1" applyBorder="1"/>
    <xf numFmtId="4" fontId="26" fillId="0" borderId="1" xfId="0" applyNumberFormat="1" applyFont="1" applyBorder="1"/>
    <xf numFmtId="4" fontId="0" fillId="0" borderId="1" xfId="0" applyNumberFormat="1" applyBorder="1" applyAlignment="1">
      <alignment horizontal="right"/>
    </xf>
    <xf numFmtId="0" fontId="12" fillId="0" borderId="1" xfId="0" applyFont="1" applyBorder="1" applyAlignment="1">
      <alignment vertical="top"/>
    </xf>
    <xf numFmtId="0" fontId="13" fillId="0" borderId="1" xfId="0" applyFont="1" applyBorder="1" applyAlignment="1">
      <alignment vertical="top"/>
    </xf>
    <xf numFmtId="0" fontId="13" fillId="0" borderId="1" xfId="0" applyFont="1" applyBorder="1" applyAlignment="1">
      <alignment horizontal="center" vertical="top"/>
    </xf>
    <xf numFmtId="4" fontId="13" fillId="0" borderId="1" xfId="0" applyNumberFormat="1" applyFont="1" applyBorder="1" applyAlignment="1">
      <alignment horizontal="right"/>
    </xf>
    <xf numFmtId="4" fontId="13" fillId="0" borderId="1" xfId="0" applyNumberFormat="1" applyFont="1" applyBorder="1" applyAlignment="1">
      <alignment horizontal="center"/>
    </xf>
    <xf numFmtId="0" fontId="12" fillId="0" borderId="26" xfId="0" applyFont="1" applyBorder="1" applyAlignment="1"/>
    <xf numFmtId="2" fontId="1" fillId="0" borderId="0" xfId="0" applyNumberFormat="1" applyFont="1" applyAlignment="1">
      <alignment horizontal="right" vertical="center" wrapText="1"/>
    </xf>
    <xf numFmtId="2" fontId="5" fillId="0" borderId="0" xfId="0" applyNumberFormat="1" applyFont="1" applyAlignment="1">
      <alignment horizontal="right" vertical="center"/>
    </xf>
    <xf numFmtId="2" fontId="1" fillId="0" borderId="0" xfId="0" applyNumberFormat="1" applyFont="1" applyAlignment="1">
      <alignment horizontal="left" vertical="center"/>
    </xf>
    <xf numFmtId="49" fontId="11" fillId="0" borderId="1"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2" fontId="5" fillId="0" borderId="3" xfId="0" applyNumberFormat="1" applyFont="1" applyBorder="1" applyAlignment="1">
      <alignment horizontal="left" vertical="center"/>
    </xf>
    <xf numFmtId="2" fontId="5" fillId="0" borderId="1" xfId="0" applyNumberFormat="1" applyFont="1" applyBorder="1" applyAlignment="1">
      <alignment horizontal="left" vertical="center"/>
    </xf>
    <xf numFmtId="2" fontId="8" fillId="0" borderId="2" xfId="0" applyNumberFormat="1" applyFont="1" applyBorder="1" applyAlignment="1">
      <alignment horizontal="left"/>
    </xf>
    <xf numFmtId="2" fontId="1" fillId="0" borderId="0" xfId="0" applyNumberFormat="1" applyFont="1" applyAlignment="1">
      <alignment horizontal="right" vertical="center"/>
    </xf>
    <xf numFmtId="166" fontId="8" fillId="0" borderId="0" xfId="0" applyNumberFormat="1" applyFont="1" applyAlignment="1">
      <alignment horizontal="left"/>
    </xf>
    <xf numFmtId="2" fontId="1" fillId="0" borderId="2" xfId="0" applyNumberFormat="1" applyFont="1" applyBorder="1" applyAlignment="1">
      <alignment horizontal="center"/>
    </xf>
    <xf numFmtId="1" fontId="1" fillId="0" borderId="10" xfId="0" applyNumberFormat="1" applyFont="1" applyBorder="1" applyAlignment="1">
      <alignment horizontal="right" vertical="center"/>
    </xf>
    <xf numFmtId="4" fontId="1" fillId="0" borderId="10" xfId="0" applyNumberFormat="1" applyFont="1" applyBorder="1" applyAlignment="1">
      <alignment horizontal="center" vertical="center"/>
    </xf>
    <xf numFmtId="1" fontId="1" fillId="0" borderId="13" xfId="0" applyNumberFormat="1" applyFont="1" applyBorder="1" applyAlignment="1">
      <alignment horizontal="right" vertical="center"/>
    </xf>
    <xf numFmtId="4" fontId="1" fillId="0" borderId="13" xfId="0" applyNumberFormat="1" applyFont="1" applyBorder="1" applyAlignment="1">
      <alignment horizontal="center" vertical="center"/>
    </xf>
    <xf numFmtId="1" fontId="1" fillId="0" borderId="12" xfId="0" applyNumberFormat="1" applyFont="1" applyBorder="1" applyAlignment="1">
      <alignment horizontal="right" vertical="center"/>
    </xf>
    <xf numFmtId="4" fontId="1" fillId="0" borderId="12" xfId="0" applyNumberFormat="1" applyFont="1" applyBorder="1" applyAlignment="1">
      <alignment horizontal="center" vertical="center"/>
    </xf>
    <xf numFmtId="49" fontId="1" fillId="0" borderId="13" xfId="0" applyNumberFormat="1" applyFont="1" applyBorder="1" applyAlignment="1">
      <alignment horizontal="left" vertical="center"/>
    </xf>
    <xf numFmtId="49" fontId="1" fillId="0" borderId="12" xfId="0" applyNumberFormat="1" applyFont="1" applyBorder="1" applyAlignment="1">
      <alignment horizontal="left" vertical="center" wrapText="1"/>
    </xf>
    <xf numFmtId="49" fontId="1" fillId="0" borderId="1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13" xfId="0" applyNumberFormat="1" applyFont="1" applyBorder="1" applyAlignment="1">
      <alignment horizontal="right" vertical="center"/>
    </xf>
    <xf numFmtId="49" fontId="1" fillId="0" borderId="13" xfId="0" applyNumberFormat="1" applyFont="1" applyBorder="1" applyAlignment="1">
      <alignment horizontal="left" vertical="center" wrapText="1"/>
    </xf>
    <xf numFmtId="49" fontId="1" fillId="0" borderId="12" xfId="0" applyNumberFormat="1" applyFont="1" applyBorder="1" applyAlignment="1">
      <alignment horizontal="right" vertical="center"/>
    </xf>
    <xf numFmtId="2" fontId="5" fillId="2" borderId="8" xfId="0" applyNumberFormat="1" applyFont="1" applyFill="1" applyBorder="1" applyAlignment="1">
      <alignment vertical="center"/>
    </xf>
    <xf numFmtId="2" fontId="5" fillId="2" borderId="1" xfId="0" applyNumberFormat="1" applyFont="1" applyFill="1" applyBorder="1" applyAlignment="1">
      <alignment vertical="center"/>
    </xf>
    <xf numFmtId="4" fontId="5" fillId="2" borderId="1" xfId="0" applyNumberFormat="1" applyFont="1" applyFill="1" applyBorder="1" applyAlignment="1">
      <alignment horizontal="center" vertical="center"/>
    </xf>
    <xf numFmtId="2" fontId="1" fillId="0" borderId="0" xfId="0" applyNumberFormat="1" applyFont="1" applyAlignment="1">
      <alignment horizontal="right" vertical="top"/>
    </xf>
    <xf numFmtId="49" fontId="1" fillId="0" borderId="0" xfId="0" applyNumberFormat="1" applyFont="1" applyAlignment="1">
      <alignment vertical="justify"/>
    </xf>
    <xf numFmtId="165" fontId="1" fillId="0" borderId="10" xfId="0" applyNumberFormat="1" applyFont="1" applyBorder="1" applyAlignment="1">
      <alignment horizontal="right" vertical="center"/>
    </xf>
    <xf numFmtId="4" fontId="34" fillId="0" borderId="10" xfId="0" applyNumberFormat="1" applyFont="1" applyBorder="1" applyAlignment="1">
      <alignment horizontal="center" vertical="center"/>
    </xf>
    <xf numFmtId="165" fontId="1" fillId="0" borderId="12" xfId="0" applyNumberFormat="1" applyFont="1" applyBorder="1" applyAlignment="1">
      <alignment horizontal="right" vertical="center"/>
    </xf>
    <xf numFmtId="4" fontId="34" fillId="0" borderId="12" xfId="0" applyNumberFormat="1" applyFont="1" applyBorder="1" applyAlignment="1">
      <alignment horizontal="center" vertical="center"/>
    </xf>
    <xf numFmtId="4" fontId="3" fillId="0" borderId="0" xfId="0" applyNumberFormat="1" applyFont="1"/>
    <xf numFmtId="4" fontId="1" fillId="0" borderId="0" xfId="0" applyNumberFormat="1" applyFont="1"/>
    <xf numFmtId="165" fontId="1" fillId="0" borderId="13" xfId="0" applyNumberFormat="1" applyFont="1" applyBorder="1" applyAlignment="1">
      <alignment horizontal="right" vertical="center"/>
    </xf>
    <xf numFmtId="165" fontId="1" fillId="0" borderId="11" xfId="0" applyNumberFormat="1" applyFont="1" applyBorder="1" applyAlignment="1">
      <alignment horizontal="right" vertical="center"/>
    </xf>
    <xf numFmtId="49" fontId="1" fillId="0" borderId="11" xfId="0" applyNumberFormat="1" applyFont="1" applyBorder="1" applyAlignment="1">
      <alignment horizontal="justify" vertical="center"/>
    </xf>
    <xf numFmtId="4" fontId="1" fillId="0" borderId="42" xfId="0" applyNumberFormat="1" applyFont="1" applyBorder="1"/>
    <xf numFmtId="165" fontId="1" fillId="0" borderId="14" xfId="0" applyNumberFormat="1" applyFont="1" applyBorder="1" applyAlignment="1">
      <alignment horizontal="right" vertical="center"/>
    </xf>
    <xf numFmtId="4" fontId="34" fillId="0" borderId="13" xfId="0" applyNumberFormat="1" applyFont="1" applyBorder="1" applyAlignment="1">
      <alignment horizontal="center" vertical="center"/>
    </xf>
    <xf numFmtId="4" fontId="34" fillId="0" borderId="11" xfId="0" applyNumberFormat="1" applyFont="1" applyBorder="1" applyAlignment="1">
      <alignment horizontal="center" vertical="center"/>
    </xf>
    <xf numFmtId="165" fontId="1" fillId="0" borderId="10" xfId="0" applyNumberFormat="1" applyFont="1" applyFill="1" applyBorder="1" applyAlignment="1">
      <alignment vertical="center"/>
    </xf>
    <xf numFmtId="49" fontId="1" fillId="0" borderId="10" xfId="0" applyNumberFormat="1" applyFont="1" applyFill="1" applyBorder="1" applyAlignment="1">
      <alignment vertical="center"/>
    </xf>
    <xf numFmtId="4" fontId="34" fillId="0" borderId="10" xfId="0" applyNumberFormat="1" applyFont="1" applyFill="1" applyBorder="1" applyAlignment="1">
      <alignment horizontal="center" vertical="center"/>
    </xf>
    <xf numFmtId="165" fontId="1" fillId="0" borderId="12" xfId="0" applyNumberFormat="1" applyFont="1" applyFill="1" applyBorder="1"/>
    <xf numFmtId="49" fontId="1" fillId="0" borderId="12" xfId="0" applyNumberFormat="1" applyFont="1" applyFill="1" applyBorder="1" applyAlignment="1">
      <alignment horizontal="justify"/>
    </xf>
    <xf numFmtId="4" fontId="43" fillId="0" borderId="12"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4" fontId="8" fillId="0" borderId="0" xfId="0" applyNumberFormat="1" applyFont="1"/>
    <xf numFmtId="4" fontId="1" fillId="3" borderId="0" xfId="0" applyNumberFormat="1" applyFont="1" applyFill="1"/>
    <xf numFmtId="49" fontId="1" fillId="0" borderId="12" xfId="0" applyNumberFormat="1" applyFont="1" applyFill="1" applyBorder="1"/>
    <xf numFmtId="49" fontId="1" fillId="0" borderId="12" xfId="0" applyNumberFormat="1" applyFont="1" applyFill="1" applyBorder="1" applyAlignment="1">
      <alignment wrapText="1"/>
    </xf>
    <xf numFmtId="4" fontId="8" fillId="0" borderId="12" xfId="0" applyNumberFormat="1" applyFont="1" applyFill="1" applyBorder="1" applyAlignment="1">
      <alignment horizontal="center" vertical="center"/>
    </xf>
    <xf numFmtId="4" fontId="34" fillId="0" borderId="12" xfId="0" applyNumberFormat="1" applyFont="1" applyFill="1" applyBorder="1" applyAlignment="1">
      <alignment horizontal="center" vertical="center"/>
    </xf>
    <xf numFmtId="165" fontId="1" fillId="0" borderId="14" xfId="0" applyNumberFormat="1" applyFont="1" applyFill="1" applyBorder="1"/>
    <xf numFmtId="2" fontId="1" fillId="0" borderId="12" xfId="0" applyNumberFormat="1" applyFont="1" applyFill="1" applyBorder="1"/>
    <xf numFmtId="165" fontId="1" fillId="0" borderId="25" xfId="0" applyNumberFormat="1" applyFont="1" applyFill="1" applyBorder="1"/>
    <xf numFmtId="2" fontId="1" fillId="0" borderId="11" xfId="0" applyNumberFormat="1" applyFont="1" applyFill="1" applyBorder="1"/>
    <xf numFmtId="4" fontId="8" fillId="0" borderId="1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165" fontId="1" fillId="0" borderId="10" xfId="0" applyNumberFormat="1" applyFont="1" applyBorder="1" applyAlignment="1">
      <alignment vertical="center"/>
    </xf>
    <xf numFmtId="165" fontId="1" fillId="0" borderId="11" xfId="0" applyNumberFormat="1" applyFont="1" applyBorder="1"/>
    <xf numFmtId="49" fontId="1" fillId="0" borderId="11" xfId="0" applyNumberFormat="1" applyFont="1" applyBorder="1"/>
    <xf numFmtId="2" fontId="1" fillId="0" borderId="0" xfId="0" applyNumberFormat="1" applyFont="1" applyBorder="1" applyAlignment="1">
      <alignment horizontal="right" vertical="center"/>
    </xf>
    <xf numFmtId="2" fontId="1" fillId="0" borderId="0" xfId="0" applyNumberFormat="1" applyFont="1" applyBorder="1" applyAlignment="1">
      <alignment horizontal="center" vertical="center"/>
    </xf>
    <xf numFmtId="3" fontId="12" fillId="0" borderId="9" xfId="0" applyNumberFormat="1" applyFont="1" applyFill="1" applyBorder="1"/>
    <xf numFmtId="0" fontId="12" fillId="0" borderId="29" xfId="0" applyFont="1" applyBorder="1" applyAlignment="1">
      <alignment horizontal="center" wrapText="1"/>
    </xf>
    <xf numFmtId="49" fontId="12" fillId="0" borderId="1" xfId="0" applyNumberFormat="1" applyFont="1" applyBorder="1" applyAlignment="1">
      <alignment horizontal="right"/>
    </xf>
    <xf numFmtId="0" fontId="35" fillId="0" borderId="1" xfId="0" applyFont="1" applyBorder="1" applyAlignment="1">
      <alignment wrapText="1"/>
    </xf>
    <xf numFmtId="4" fontId="31" fillId="0" borderId="1" xfId="0" applyNumberFormat="1" applyFont="1" applyBorder="1" applyAlignment="1">
      <alignment horizontal="center"/>
    </xf>
    <xf numFmtId="4" fontId="36" fillId="0" borderId="1" xfId="0" applyNumberFormat="1" applyFont="1" applyBorder="1" applyAlignment="1">
      <alignment horizontal="center"/>
    </xf>
    <xf numFmtId="0" fontId="0" fillId="0" borderId="1" xfId="0" applyBorder="1" applyAlignment="1">
      <alignment vertical="center"/>
    </xf>
    <xf numFmtId="0" fontId="13" fillId="0" borderId="1" xfId="0" applyFont="1" applyBorder="1" applyAlignment="1">
      <alignment vertical="center" wrapText="1"/>
    </xf>
    <xf numFmtId="0" fontId="13" fillId="0" borderId="1" xfId="0" applyFont="1" applyBorder="1" applyAlignment="1">
      <alignment vertical="center"/>
    </xf>
    <xf numFmtId="3" fontId="0" fillId="0" borderId="1" xfId="0" applyNumberFormat="1" applyBorder="1" applyAlignment="1">
      <alignment vertical="center"/>
    </xf>
    <xf numFmtId="4" fontId="0" fillId="0" borderId="1" xfId="0" applyNumberFormat="1" applyBorder="1" applyAlignment="1">
      <alignment vertical="center"/>
    </xf>
    <xf numFmtId="0" fontId="12" fillId="0" borderId="1" xfId="0" applyFont="1" applyBorder="1" applyAlignment="1"/>
    <xf numFmtId="4" fontId="14" fillId="0" borderId="1" xfId="0" applyNumberFormat="1" applyFont="1" applyBorder="1"/>
    <xf numFmtId="4" fontId="13" fillId="0" borderId="7" xfId="0" applyNumberFormat="1" applyFont="1" applyBorder="1" applyAlignment="1">
      <alignment vertical="center" wrapText="1"/>
    </xf>
    <xf numFmtId="0" fontId="12" fillId="0" borderId="1" xfId="0" applyFont="1" applyBorder="1" applyAlignment="1">
      <alignment wrapText="1"/>
    </xf>
    <xf numFmtId="4" fontId="31" fillId="0" borderId="1" xfId="0" applyNumberFormat="1" applyFont="1" applyBorder="1" applyAlignment="1">
      <alignment horizontal="center" vertical="center"/>
    </xf>
    <xf numFmtId="4" fontId="26" fillId="0" borderId="1" xfId="0" applyNumberFormat="1" applyFont="1" applyBorder="1" applyAlignment="1">
      <alignment horizontal="center" vertical="center"/>
    </xf>
    <xf numFmtId="0" fontId="13" fillId="0" borderId="1" xfId="0" applyFont="1" applyBorder="1" applyAlignment="1">
      <alignment horizontal="left"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vertical="center" wrapText="1"/>
    </xf>
    <xf numFmtId="1" fontId="0" fillId="0" borderId="1" xfId="0" applyNumberFormat="1" applyBorder="1" applyAlignment="1">
      <alignment horizontal="center"/>
    </xf>
    <xf numFmtId="165" fontId="38" fillId="0" borderId="0" xfId="0" applyNumberFormat="1" applyFont="1"/>
    <xf numFmtId="1" fontId="10" fillId="0" borderId="1" xfId="0" applyNumberFormat="1" applyFont="1" applyBorder="1" applyAlignment="1">
      <alignment horizontal="center"/>
    </xf>
    <xf numFmtId="2" fontId="5" fillId="0" borderId="53" xfId="0" applyNumberFormat="1" applyFont="1" applyBorder="1" applyAlignment="1">
      <alignment horizontal="left" vertical="center"/>
    </xf>
    <xf numFmtId="2" fontId="5" fillId="0" borderId="42" xfId="0" applyNumberFormat="1" applyFont="1" applyBorder="1" applyAlignment="1">
      <alignment horizontal="left" vertical="center"/>
    </xf>
    <xf numFmtId="49" fontId="1" fillId="0" borderId="1" xfId="0" applyNumberFormat="1" applyFont="1" applyBorder="1" applyAlignment="1">
      <alignment horizontal="left" vertical="center" wrapText="1"/>
    </xf>
    <xf numFmtId="4" fontId="8"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 fontId="1" fillId="0" borderId="1" xfId="0" applyNumberFormat="1" applyFont="1" applyBorder="1" applyAlignment="1">
      <alignment horizontal="right" vertical="center"/>
    </xf>
    <xf numFmtId="4" fontId="0" fillId="0" borderId="0" xfId="0" applyNumberFormat="1"/>
    <xf numFmtId="3" fontId="8" fillId="0" borderId="10"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0" fillId="0" borderId="17" xfId="0" applyBorder="1" applyAlignment="1">
      <alignment horizontal="right"/>
    </xf>
    <xf numFmtId="0" fontId="0" fillId="0" borderId="1" xfId="0" applyBorder="1" applyAlignment="1">
      <alignment horizontal="right"/>
    </xf>
    <xf numFmtId="2" fontId="1" fillId="0" borderId="0" xfId="0" applyNumberFormat="1" applyFont="1" applyAlignment="1">
      <alignment horizontal="left" vertical="center"/>
    </xf>
    <xf numFmtId="2" fontId="3" fillId="0" borderId="0" xfId="0" applyNumberFormat="1" applyFont="1" applyAlignment="1">
      <alignment horizontal="center" vertical="center"/>
    </xf>
    <xf numFmtId="164" fontId="1" fillId="0" borderId="0" xfId="1" applyFont="1"/>
    <xf numFmtId="2" fontId="34" fillId="0" borderId="1" xfId="1" applyNumberFormat="1" applyFont="1" applyBorder="1" applyAlignment="1">
      <alignment horizontal="center" vertical="center" wrapText="1"/>
    </xf>
    <xf numFmtId="164" fontId="34" fillId="0" borderId="1" xfId="1" applyFont="1" applyBorder="1" applyAlignment="1">
      <alignment horizontal="center" vertical="center" wrapText="1"/>
    </xf>
    <xf numFmtId="4" fontId="34" fillId="5" borderId="10" xfId="0" applyNumberFormat="1" applyFont="1" applyFill="1" applyBorder="1" applyAlignment="1">
      <alignment horizontal="center" vertical="center"/>
    </xf>
    <xf numFmtId="2" fontId="34" fillId="5" borderId="1" xfId="1" applyNumberFormat="1" applyFont="1" applyFill="1" applyBorder="1" applyAlignment="1">
      <alignment horizontal="center" vertical="center"/>
    </xf>
    <xf numFmtId="164" fontId="34" fillId="0" borderId="1" xfId="1" applyFont="1" applyBorder="1" applyAlignment="1">
      <alignment horizontal="center" vertical="center"/>
    </xf>
    <xf numFmtId="164" fontId="34" fillId="0" borderId="1" xfId="1" applyFont="1" applyBorder="1" applyAlignment="1">
      <alignment vertical="center" wrapText="1"/>
    </xf>
    <xf numFmtId="49" fontId="32" fillId="0" borderId="8" xfId="0" applyNumberFormat="1" applyFont="1" applyBorder="1" applyAlignment="1">
      <alignment horizontal="center" vertical="center" wrapText="1"/>
    </xf>
    <xf numFmtId="49" fontId="32" fillId="0" borderId="1" xfId="0" applyNumberFormat="1" applyFont="1" applyBorder="1" applyAlignment="1">
      <alignment horizontal="center" vertical="center"/>
    </xf>
    <xf numFmtId="49" fontId="32" fillId="0" borderId="1" xfId="0" applyNumberFormat="1" applyFont="1" applyBorder="1" applyAlignment="1">
      <alignment horizontal="center" vertical="center" wrapText="1"/>
    </xf>
    <xf numFmtId="164" fontId="12" fillId="0" borderId="1" xfId="1" applyFont="1" applyBorder="1" applyAlignment="1">
      <alignment horizontal="center" vertical="center" wrapText="1"/>
    </xf>
    <xf numFmtId="164" fontId="13" fillId="0" borderId="1" xfId="1" applyFont="1" applyBorder="1" applyAlignment="1">
      <alignment wrapText="1"/>
    </xf>
    <xf numFmtId="2" fontId="34" fillId="0" borderId="1" xfId="0" applyNumberFormat="1" applyFont="1" applyBorder="1"/>
    <xf numFmtId="1" fontId="33" fillId="0" borderId="1" xfId="0" applyNumberFormat="1" applyFont="1" applyBorder="1" applyAlignment="1">
      <alignment horizontal="center" vertical="center"/>
    </xf>
    <xf numFmtId="168" fontId="34" fillId="0" borderId="1" xfId="1" applyNumberFormat="1" applyFont="1" applyBorder="1" applyAlignment="1">
      <alignment wrapText="1"/>
    </xf>
    <xf numFmtId="1" fontId="34" fillId="0" borderId="1" xfId="0" applyNumberFormat="1" applyFont="1" applyBorder="1" applyAlignment="1">
      <alignment horizontal="center"/>
    </xf>
    <xf numFmtId="164" fontId="34" fillId="0" borderId="1" xfId="1" applyFont="1" applyBorder="1" applyAlignment="1">
      <alignment wrapText="1"/>
    </xf>
    <xf numFmtId="165" fontId="34" fillId="0" borderId="10" xfId="0" applyNumberFormat="1" applyFont="1" applyBorder="1" applyAlignment="1">
      <alignment horizontal="right" vertical="center"/>
    </xf>
    <xf numFmtId="49" fontId="34" fillId="0" borderId="10" xfId="0" applyNumberFormat="1" applyFont="1" applyBorder="1" applyAlignment="1">
      <alignment horizontal="left" vertical="center"/>
    </xf>
    <xf numFmtId="2" fontId="34" fillId="0" borderId="1" xfId="0" applyNumberFormat="1" applyFont="1" applyBorder="1" applyAlignment="1">
      <alignment horizontal="center" vertical="center"/>
    </xf>
    <xf numFmtId="165" fontId="34" fillId="0" borderId="12" xfId="0" applyNumberFormat="1" applyFont="1" applyBorder="1" applyAlignment="1">
      <alignment horizontal="right" vertical="center"/>
    </xf>
    <xf numFmtId="49" fontId="34" fillId="0" borderId="12" xfId="0" applyNumberFormat="1" applyFont="1" applyBorder="1" applyAlignment="1">
      <alignment horizontal="left" vertical="center"/>
    </xf>
    <xf numFmtId="165" fontId="34" fillId="0" borderId="13" xfId="0" applyNumberFormat="1" applyFont="1" applyBorder="1" applyAlignment="1">
      <alignment horizontal="right" vertical="center"/>
    </xf>
    <xf numFmtId="49" fontId="34" fillId="0" borderId="13" xfId="0" applyNumberFormat="1" applyFont="1" applyBorder="1" applyAlignment="1">
      <alignment horizontal="left" vertical="center"/>
    </xf>
    <xf numFmtId="165" fontId="34" fillId="0" borderId="11" xfId="0" applyNumberFormat="1" applyFont="1" applyBorder="1" applyAlignment="1">
      <alignment horizontal="right" vertical="center"/>
    </xf>
    <xf numFmtId="49" fontId="34" fillId="0" borderId="11" xfId="0" applyNumberFormat="1" applyFont="1" applyBorder="1" applyAlignment="1">
      <alignment horizontal="justify" vertical="center"/>
    </xf>
    <xf numFmtId="2" fontId="10" fillId="4" borderId="1" xfId="0" applyNumberFormat="1" applyFont="1" applyFill="1" applyBorder="1" applyAlignment="1">
      <alignment horizontal="center"/>
    </xf>
    <xf numFmtId="49" fontId="34" fillId="0" borderId="12" xfId="0" applyNumberFormat="1" applyFont="1" applyBorder="1" applyAlignment="1">
      <alignment horizontal="left" vertical="center" wrapText="1"/>
    </xf>
    <xf numFmtId="2" fontId="10" fillId="4" borderId="1" xfId="1" applyNumberFormat="1" applyFont="1" applyFill="1" applyBorder="1" applyAlignment="1">
      <alignment horizontal="center" wrapText="1"/>
    </xf>
    <xf numFmtId="165" fontId="34" fillId="0" borderId="14" xfId="0" applyNumberFormat="1" applyFont="1" applyBorder="1" applyAlignment="1">
      <alignment horizontal="right" vertical="center"/>
    </xf>
    <xf numFmtId="2" fontId="34" fillId="0" borderId="1" xfId="1" applyNumberFormat="1" applyFont="1" applyBorder="1" applyAlignment="1">
      <alignment horizontal="center" vertical="center"/>
    </xf>
    <xf numFmtId="49" fontId="34" fillId="0" borderId="13" xfId="0" applyNumberFormat="1" applyFont="1" applyBorder="1" applyAlignment="1">
      <alignment horizontal="left" vertical="center" wrapText="1"/>
    </xf>
    <xf numFmtId="164" fontId="10" fillId="4" borderId="1" xfId="1" applyFont="1" applyFill="1" applyBorder="1" applyAlignment="1">
      <alignment wrapText="1"/>
    </xf>
    <xf numFmtId="164" fontId="10" fillId="4" borderId="1" xfId="1" applyFont="1" applyFill="1" applyBorder="1" applyAlignment="1">
      <alignment horizontal="center"/>
    </xf>
    <xf numFmtId="4" fontId="10" fillId="0" borderId="10" xfId="0" applyNumberFormat="1" applyFont="1" applyBorder="1" applyAlignment="1">
      <alignment horizontal="center" vertical="center"/>
    </xf>
    <xf numFmtId="2" fontId="34" fillId="5" borderId="1" xfId="1" applyNumberFormat="1" applyFont="1" applyFill="1" applyBorder="1" applyAlignment="1">
      <alignment horizontal="center" vertical="center" wrapText="1"/>
    </xf>
    <xf numFmtId="4" fontId="10" fillId="0" borderId="12" xfId="0" applyNumberFormat="1" applyFont="1" applyBorder="1" applyAlignment="1">
      <alignment horizontal="center" vertical="center"/>
    </xf>
    <xf numFmtId="49" fontId="34" fillId="0" borderId="12" xfId="0" applyNumberFormat="1" applyFont="1" applyBorder="1" applyAlignment="1">
      <alignment horizontal="justify" vertical="center"/>
    </xf>
    <xf numFmtId="2" fontId="34" fillId="5" borderId="1" xfId="1" applyNumberFormat="1" applyFont="1" applyFill="1" applyBorder="1" applyAlignment="1">
      <alignment horizontal="center" wrapText="1"/>
    </xf>
    <xf numFmtId="49" fontId="34" fillId="0" borderId="11" xfId="0" applyNumberFormat="1" applyFont="1" applyBorder="1" applyAlignment="1">
      <alignment horizontal="left" vertical="center"/>
    </xf>
    <xf numFmtId="2" fontId="10" fillId="5" borderId="1" xfId="1" applyNumberFormat="1" applyFont="1" applyFill="1" applyBorder="1" applyAlignment="1">
      <alignment horizontal="center" vertical="center" wrapText="1"/>
    </xf>
    <xf numFmtId="164" fontId="34" fillId="5" borderId="1" xfId="1" applyFont="1" applyFill="1" applyBorder="1" applyAlignment="1">
      <alignment horizontal="center" vertical="center" wrapText="1"/>
    </xf>
    <xf numFmtId="2" fontId="34" fillId="5" borderId="1" xfId="0" applyNumberFormat="1" applyFont="1" applyFill="1" applyBorder="1" applyAlignment="1">
      <alignment horizontal="center" vertical="center"/>
    </xf>
    <xf numFmtId="164" fontId="34" fillId="5" borderId="1" xfId="1" applyFont="1" applyFill="1" applyBorder="1" applyAlignment="1">
      <alignment horizontal="center" vertical="center"/>
    </xf>
    <xf numFmtId="165" fontId="34" fillId="0" borderId="10" xfId="0" applyNumberFormat="1" applyFont="1" applyFill="1" applyBorder="1" applyAlignment="1">
      <alignment vertical="center"/>
    </xf>
    <xf numFmtId="49" fontId="34" fillId="0" borderId="10" xfId="0" applyNumberFormat="1" applyFont="1" applyFill="1" applyBorder="1" applyAlignment="1">
      <alignment vertical="center"/>
    </xf>
    <xf numFmtId="4" fontId="10" fillId="0" borderId="10" xfId="0" applyNumberFormat="1" applyFont="1" applyFill="1" applyBorder="1" applyAlignment="1">
      <alignment horizontal="center" vertical="center"/>
    </xf>
    <xf numFmtId="165" fontId="34" fillId="0" borderId="12" xfId="0" applyNumberFormat="1" applyFont="1" applyFill="1" applyBorder="1"/>
    <xf numFmtId="49" fontId="34" fillId="0" borderId="12" xfId="0" applyNumberFormat="1" applyFont="1" applyFill="1" applyBorder="1" applyAlignment="1">
      <alignment horizontal="justify"/>
    </xf>
    <xf numFmtId="49" fontId="34" fillId="0" borderId="12" xfId="0" applyNumberFormat="1" applyFont="1" applyFill="1" applyBorder="1"/>
    <xf numFmtId="4" fontId="10" fillId="0" borderId="12" xfId="0" applyNumberFormat="1" applyFont="1" applyFill="1" applyBorder="1" applyAlignment="1">
      <alignment horizontal="center" vertical="center"/>
    </xf>
    <xf numFmtId="49" fontId="34" fillId="0" borderId="12" xfId="0" applyNumberFormat="1" applyFont="1" applyFill="1" applyBorder="1" applyAlignment="1">
      <alignment wrapText="1"/>
    </xf>
    <xf numFmtId="165" fontId="34" fillId="0" borderId="14" xfId="0" applyNumberFormat="1" applyFont="1" applyFill="1" applyBorder="1"/>
    <xf numFmtId="2" fontId="34" fillId="0" borderId="12" xfId="0" applyNumberFormat="1" applyFont="1" applyFill="1" applyBorder="1"/>
    <xf numFmtId="165" fontId="34" fillId="0" borderId="25" xfId="0" applyNumberFormat="1" applyFont="1" applyFill="1" applyBorder="1"/>
    <xf numFmtId="2" fontId="34" fillId="0" borderId="11" xfId="0" applyNumberFormat="1" applyFont="1" applyFill="1" applyBorder="1"/>
    <xf numFmtId="4" fontId="10" fillId="0" borderId="1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164" fontId="10" fillId="5" borderId="1" xfId="1" applyFont="1" applyFill="1" applyBorder="1" applyAlignment="1">
      <alignment horizontal="center" vertical="center" wrapText="1"/>
    </xf>
    <xf numFmtId="164" fontId="10" fillId="5" borderId="1" xfId="1" applyFont="1" applyFill="1" applyBorder="1" applyAlignment="1">
      <alignment horizontal="center" vertical="center"/>
    </xf>
    <xf numFmtId="165" fontId="34" fillId="0" borderId="10" xfId="0" applyNumberFormat="1" applyFont="1" applyBorder="1" applyAlignment="1">
      <alignment vertical="center"/>
    </xf>
    <xf numFmtId="49" fontId="34" fillId="0" borderId="10" xfId="0" applyNumberFormat="1" applyFont="1" applyBorder="1" applyAlignment="1">
      <alignment vertical="center"/>
    </xf>
    <xf numFmtId="165" fontId="34" fillId="0" borderId="11" xfId="0" applyNumberFormat="1" applyFont="1" applyBorder="1"/>
    <xf numFmtId="49" fontId="34" fillId="0" borderId="11" xfId="0" applyNumberFormat="1" applyFont="1" applyBorder="1"/>
    <xf numFmtId="2" fontId="10" fillId="0" borderId="1" xfId="0" applyNumberFormat="1" applyFont="1" applyBorder="1" applyAlignment="1">
      <alignment horizontal="center" vertical="center"/>
    </xf>
    <xf numFmtId="2" fontId="10" fillId="5"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xf>
    <xf numFmtId="164" fontId="10" fillId="2" borderId="1" xfId="1" applyFont="1" applyFill="1" applyBorder="1" applyAlignment="1">
      <alignment horizontal="center" vertical="center"/>
    </xf>
    <xf numFmtId="164" fontId="10" fillId="0" borderId="1" xfId="1" applyFont="1" applyBorder="1"/>
    <xf numFmtId="164" fontId="34" fillId="0" borderId="1" xfId="1" applyFont="1" applyBorder="1"/>
    <xf numFmtId="0" fontId="13" fillId="0" borderId="8" xfId="0" applyFont="1" applyFill="1" applyBorder="1" applyAlignment="1">
      <alignment horizontal="left"/>
    </xf>
    <xf numFmtId="0" fontId="13" fillId="0" borderId="15" xfId="0" applyFont="1" applyFill="1" applyBorder="1" applyAlignment="1">
      <alignment horizontal="left"/>
    </xf>
    <xf numFmtId="0" fontId="13" fillId="0" borderId="9" xfId="0" applyFont="1" applyFill="1" applyBorder="1" applyAlignment="1">
      <alignment horizontal="left"/>
    </xf>
    <xf numFmtId="0" fontId="13" fillId="0" borderId="70" xfId="0" applyFont="1" applyFill="1" applyBorder="1" applyAlignment="1">
      <alignment horizontal="left"/>
    </xf>
    <xf numFmtId="0" fontId="13" fillId="0" borderId="71" xfId="0" applyFont="1" applyFill="1" applyBorder="1" applyAlignment="1">
      <alignment horizontal="left"/>
    </xf>
    <xf numFmtId="0" fontId="12" fillId="0" borderId="8"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Alignment="1">
      <alignment horizontal="left" wrapText="1"/>
    </xf>
    <xf numFmtId="0" fontId="12" fillId="0" borderId="0" xfId="0" applyFont="1" applyAlignment="1">
      <alignment horizontal="left"/>
    </xf>
    <xf numFmtId="0" fontId="12" fillId="0" borderId="0" xfId="0" applyFont="1" applyAlignment="1">
      <alignment horizontal="center" vertical="center"/>
    </xf>
    <xf numFmtId="2" fontId="2" fillId="0" borderId="2" xfId="0" applyNumberFormat="1" applyFont="1" applyBorder="1" applyAlignment="1">
      <alignment horizontal="center"/>
    </xf>
    <xf numFmtId="2" fontId="8" fillId="0" borderId="2" xfId="0" applyNumberFormat="1" applyFont="1" applyBorder="1" applyAlignment="1">
      <alignment horizontal="left"/>
    </xf>
    <xf numFmtId="0" fontId="12" fillId="0" borderId="8" xfId="0" applyFont="1" applyBorder="1" applyAlignment="1">
      <alignment horizontal="left" vertical="center"/>
    </xf>
    <xf numFmtId="0" fontId="12" fillId="0" borderId="15" xfId="0" applyFont="1" applyBorder="1" applyAlignment="1">
      <alignment horizontal="left" vertical="center"/>
    </xf>
    <xf numFmtId="0" fontId="12" fillId="0" borderId="9" xfId="0" applyFont="1" applyBorder="1" applyAlignment="1">
      <alignment horizontal="left" vertical="center"/>
    </xf>
    <xf numFmtId="0" fontId="12" fillId="0" borderId="66" xfId="0" applyFont="1" applyBorder="1" applyAlignment="1">
      <alignment horizontal="left" vertical="center"/>
    </xf>
    <xf numFmtId="0" fontId="12" fillId="0" borderId="67" xfId="0" applyFont="1" applyBorder="1" applyAlignment="1">
      <alignment horizontal="left" vertical="center"/>
    </xf>
    <xf numFmtId="0" fontId="12" fillId="0" borderId="8" xfId="0" applyFont="1" applyBorder="1" applyAlignment="1">
      <alignment horizontal="left"/>
    </xf>
    <xf numFmtId="0" fontId="12" fillId="0" borderId="15" xfId="0" applyFont="1" applyBorder="1" applyAlignment="1">
      <alignment horizontal="left"/>
    </xf>
    <xf numFmtId="0" fontId="12" fillId="0" borderId="9" xfId="0" applyFont="1" applyBorder="1" applyAlignment="1">
      <alignment horizontal="left"/>
    </xf>
    <xf numFmtId="0" fontId="19" fillId="0" borderId="0" xfId="0" applyFont="1" applyAlignment="1">
      <alignment horizontal="center"/>
    </xf>
    <xf numFmtId="0" fontId="20" fillId="0" borderId="34" xfId="0" applyFont="1" applyBorder="1" applyAlignment="1">
      <alignment horizontal="left" wrapText="1"/>
    </xf>
    <xf numFmtId="0" fontId="20" fillId="0" borderId="19" xfId="0" applyFont="1" applyBorder="1" applyAlignment="1">
      <alignment horizontal="left" wrapText="1"/>
    </xf>
    <xf numFmtId="0" fontId="12" fillId="0" borderId="8" xfId="0" applyFont="1" applyBorder="1" applyAlignment="1">
      <alignment horizontal="left" wrapText="1"/>
    </xf>
    <xf numFmtId="0" fontId="12" fillId="0" borderId="15" xfId="0" applyFont="1" applyBorder="1" applyAlignment="1">
      <alignment horizontal="left" wrapText="1"/>
    </xf>
    <xf numFmtId="0" fontId="12" fillId="0" borderId="9" xfId="0" applyFont="1" applyBorder="1" applyAlignment="1">
      <alignment horizontal="left" wrapText="1"/>
    </xf>
    <xf numFmtId="0" fontId="12" fillId="0" borderId="8" xfId="0" applyFont="1" applyBorder="1" applyAlignment="1">
      <alignment horizontal="left" vertical="top" wrapText="1"/>
    </xf>
    <xf numFmtId="0" fontId="12" fillId="0" borderId="15"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Alignment="1">
      <alignment horizontal="center"/>
    </xf>
    <xf numFmtId="2" fontId="24" fillId="0" borderId="0" xfId="0" applyNumberFormat="1" applyFont="1" applyAlignment="1">
      <alignment horizontal="left" vertical="center" wrapText="1"/>
    </xf>
    <xf numFmtId="0" fontId="0" fillId="0" borderId="0" xfId="0" applyAlignment="1">
      <alignment horizontal="left"/>
    </xf>
    <xf numFmtId="0" fontId="0" fillId="0" borderId="0" xfId="0" applyAlignment="1">
      <alignment horizontal="center"/>
    </xf>
    <xf numFmtId="0" fontId="12" fillId="0" borderId="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30" fillId="0" borderId="0" xfId="0" applyFont="1" applyAlignment="1">
      <alignment horizontal="center"/>
    </xf>
    <xf numFmtId="0" fontId="13" fillId="0" borderId="61" xfId="0" applyFont="1" applyBorder="1" applyAlignment="1">
      <alignment horizontal="left" vertical="top" wrapText="1"/>
    </xf>
    <xf numFmtId="0" fontId="13" fillId="0" borderId="56" xfId="0" applyFont="1" applyBorder="1" applyAlignment="1">
      <alignment horizontal="left" vertical="top" wrapText="1"/>
    </xf>
    <xf numFmtId="0" fontId="13" fillId="0" borderId="62" xfId="0" applyFont="1" applyBorder="1" applyAlignment="1">
      <alignment horizontal="left" vertical="top" wrapText="1"/>
    </xf>
    <xf numFmtId="0" fontId="10" fillId="0" borderId="0" xfId="0" applyFont="1" applyAlignment="1">
      <alignment horizontal="center"/>
    </xf>
    <xf numFmtId="0" fontId="12" fillId="0" borderId="1" xfId="0" applyFont="1" applyBorder="1" applyAlignment="1">
      <alignment horizontal="left" wrapText="1"/>
    </xf>
    <xf numFmtId="0" fontId="12" fillId="0" borderId="1" xfId="0" applyFont="1" applyBorder="1" applyAlignment="1">
      <alignment horizontal="left"/>
    </xf>
    <xf numFmtId="0" fontId="13" fillId="0" borderId="8" xfId="0" applyFont="1" applyFill="1" applyBorder="1" applyAlignment="1">
      <alignment horizontal="center"/>
    </xf>
    <xf numFmtId="0" fontId="13" fillId="0" borderId="15" xfId="0" applyFont="1" applyFill="1" applyBorder="1" applyAlignment="1">
      <alignment horizontal="center"/>
    </xf>
    <xf numFmtId="0" fontId="13" fillId="0" borderId="9" xfId="0" applyFont="1" applyFill="1" applyBorder="1" applyAlignment="1">
      <alignment horizontal="center"/>
    </xf>
    <xf numFmtId="0" fontId="12" fillId="0" borderId="26" xfId="0" applyFont="1" applyBorder="1" applyAlignment="1">
      <alignment horizontal="center"/>
    </xf>
    <xf numFmtId="0" fontId="13" fillId="0" borderId="8" xfId="0" applyFont="1" applyBorder="1" applyAlignment="1">
      <alignment horizontal="left" wrapText="1"/>
    </xf>
    <xf numFmtId="0" fontId="13" fillId="0" borderId="15" xfId="0" applyFont="1" applyBorder="1" applyAlignment="1">
      <alignment horizontal="left" wrapText="1"/>
    </xf>
    <xf numFmtId="0" fontId="13" fillId="0" borderId="9" xfId="0" applyFont="1" applyBorder="1" applyAlignment="1">
      <alignment horizontal="left" wrapText="1"/>
    </xf>
    <xf numFmtId="0" fontId="10" fillId="0" borderId="1" xfId="0" applyFont="1" applyBorder="1" applyAlignment="1">
      <alignment horizontal="center"/>
    </xf>
    <xf numFmtId="2" fontId="6" fillId="0" borderId="0" xfId="0" applyNumberFormat="1" applyFont="1" applyAlignment="1">
      <alignment horizontal="right" vertical="center"/>
    </xf>
    <xf numFmtId="2" fontId="10" fillId="0" borderId="4" xfId="0" applyNumberFormat="1" applyFont="1" applyBorder="1" applyAlignment="1">
      <alignment horizontal="left" vertical="center"/>
    </xf>
    <xf numFmtId="2" fontId="10" fillId="0" borderId="3" xfId="0" applyNumberFormat="1" applyFont="1" applyBorder="1" applyAlignment="1">
      <alignment horizontal="left" vertical="center"/>
    </xf>
    <xf numFmtId="2" fontId="10" fillId="0" borderId="5" xfId="0" applyNumberFormat="1" applyFont="1" applyBorder="1" applyAlignment="1">
      <alignment horizontal="left" vertical="center"/>
    </xf>
    <xf numFmtId="2" fontId="10" fillId="0" borderId="6" xfId="0" applyNumberFormat="1" applyFont="1" applyBorder="1" applyAlignment="1">
      <alignment horizontal="left" vertical="center"/>
    </xf>
    <xf numFmtId="2" fontId="10" fillId="0" borderId="2" xfId="0" applyNumberFormat="1" applyFont="1" applyBorder="1" applyAlignment="1">
      <alignment horizontal="left" vertical="center"/>
    </xf>
    <xf numFmtId="2" fontId="10" fillId="0" borderId="7" xfId="0" applyNumberFormat="1" applyFont="1" applyBorder="1" applyAlignment="1">
      <alignment horizontal="left" vertical="center"/>
    </xf>
    <xf numFmtId="49" fontId="10" fillId="0" borderId="8" xfId="0" applyNumberFormat="1" applyFont="1" applyBorder="1" applyAlignment="1">
      <alignment horizontal="left" vertical="center"/>
    </xf>
    <xf numFmtId="49" fontId="10" fillId="0" borderId="9" xfId="0" applyNumberFormat="1" applyFont="1" applyBorder="1" applyAlignment="1">
      <alignment horizontal="left" vertical="center"/>
    </xf>
    <xf numFmtId="2" fontId="10" fillId="2" borderId="1" xfId="0" applyNumberFormat="1" applyFont="1" applyFill="1" applyBorder="1" applyAlignment="1">
      <alignment horizontal="left" vertical="center"/>
    </xf>
    <xf numFmtId="2" fontId="10" fillId="0" borderId="1" xfId="0" applyNumberFormat="1" applyFont="1" applyBorder="1" applyAlignment="1">
      <alignment horizontal="left" vertical="center"/>
    </xf>
    <xf numFmtId="2" fontId="1" fillId="0" borderId="0" xfId="0" applyNumberFormat="1" applyFont="1" applyAlignment="1">
      <alignment horizontal="right"/>
    </xf>
    <xf numFmtId="49" fontId="10" fillId="0" borderId="8"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165" fontId="10" fillId="0" borderId="1" xfId="0" applyNumberFormat="1" applyFont="1" applyBorder="1" applyAlignment="1">
      <alignment horizontal="left" vertical="center"/>
    </xf>
    <xf numFmtId="165" fontId="10" fillId="0" borderId="8" xfId="0" applyNumberFormat="1" applyFont="1" applyBorder="1" applyAlignment="1">
      <alignment horizontal="left" vertical="center"/>
    </xf>
    <xf numFmtId="165" fontId="10" fillId="0" borderId="9" xfId="0" applyNumberFormat="1" applyFont="1" applyBorder="1" applyAlignment="1">
      <alignment horizontal="left" vertical="center"/>
    </xf>
    <xf numFmtId="2" fontId="1" fillId="0" borderId="0" xfId="0" applyNumberFormat="1" applyFont="1" applyAlignment="1">
      <alignment horizontal="left" vertical="center"/>
    </xf>
    <xf numFmtId="2" fontId="6" fillId="0" borderId="0" xfId="0" applyNumberFormat="1" applyFont="1" applyAlignment="1">
      <alignment horizontal="left" vertical="center"/>
    </xf>
    <xf numFmtId="2" fontId="9" fillId="0" borderId="0" xfId="0" applyNumberFormat="1" applyFont="1" applyAlignment="1">
      <alignment horizontal="center" vertical="center"/>
    </xf>
    <xf numFmtId="2" fontId="3" fillId="0" borderId="0" xfId="0" applyNumberFormat="1" applyFont="1" applyAlignment="1">
      <alignment horizontal="center" vertical="center"/>
    </xf>
    <xf numFmtId="2" fontId="11" fillId="0" borderId="0" xfId="0" applyNumberFormat="1" applyFont="1" applyAlignment="1">
      <alignment horizontal="center" vertical="center"/>
    </xf>
    <xf numFmtId="49" fontId="32" fillId="0" borderId="16"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2" fontId="5" fillId="0" borderId="4" xfId="0" applyNumberFormat="1" applyFont="1" applyBorder="1" applyAlignment="1">
      <alignment horizontal="left" vertical="center"/>
    </xf>
    <xf numFmtId="2" fontId="5" fillId="0" borderId="3" xfId="0" applyNumberFormat="1" applyFont="1" applyBorder="1" applyAlignment="1">
      <alignment horizontal="left" vertical="center"/>
    </xf>
    <xf numFmtId="2" fontId="5" fillId="0" borderId="5" xfId="0" applyNumberFormat="1" applyFont="1" applyBorder="1" applyAlignment="1">
      <alignment horizontal="left" vertical="center"/>
    </xf>
    <xf numFmtId="2" fontId="5" fillId="0" borderId="6" xfId="0" applyNumberFormat="1" applyFont="1" applyBorder="1" applyAlignment="1">
      <alignment horizontal="left" vertical="center"/>
    </xf>
    <xf numFmtId="2" fontId="5" fillId="0" borderId="2" xfId="0" applyNumberFormat="1" applyFont="1" applyBorder="1" applyAlignment="1">
      <alignment horizontal="left" vertical="center"/>
    </xf>
    <xf numFmtId="2" fontId="5" fillId="0" borderId="7"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9" xfId="0" applyNumberFormat="1" applyFont="1" applyBorder="1" applyAlignment="1">
      <alignment horizontal="left" vertical="center"/>
    </xf>
    <xf numFmtId="2" fontId="5" fillId="2" borderId="1" xfId="0" applyNumberFormat="1" applyFont="1" applyFill="1" applyBorder="1" applyAlignment="1">
      <alignment horizontal="left" vertical="center"/>
    </xf>
    <xf numFmtId="2" fontId="5" fillId="0" borderId="1" xfId="0" applyNumberFormat="1" applyFont="1" applyBorder="1" applyAlignment="1">
      <alignment horizontal="left" vertical="center"/>
    </xf>
    <xf numFmtId="165" fontId="5" fillId="0" borderId="1" xfId="0" applyNumberFormat="1" applyFont="1" applyBorder="1" applyAlignment="1">
      <alignment horizontal="left" vertical="center"/>
    </xf>
    <xf numFmtId="165" fontId="5" fillId="0" borderId="8" xfId="0" applyNumberFormat="1" applyFont="1" applyBorder="1" applyAlignment="1">
      <alignment horizontal="left" vertical="center"/>
    </xf>
    <xf numFmtId="165" fontId="5" fillId="0" borderId="9" xfId="0" applyNumberFormat="1" applyFont="1" applyBorder="1" applyAlignment="1">
      <alignment horizontal="left" vertical="center"/>
    </xf>
    <xf numFmtId="49" fontId="11" fillId="0" borderId="16"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vertical="center" wrapText="1"/>
    </xf>
    <xf numFmtId="2" fontId="5" fillId="0" borderId="8" xfId="0" applyNumberFormat="1" applyFont="1" applyBorder="1" applyAlignment="1">
      <alignment horizontal="left" vertical="center"/>
    </xf>
    <xf numFmtId="2" fontId="5" fillId="0" borderId="15" xfId="0" applyNumberFormat="1" applyFont="1" applyBorder="1" applyAlignment="1">
      <alignment horizontal="left" vertical="center"/>
    </xf>
    <xf numFmtId="2" fontId="5" fillId="0" borderId="9" xfId="0" applyNumberFormat="1" applyFont="1" applyBorder="1" applyAlignment="1">
      <alignment horizontal="left" vertical="center"/>
    </xf>
    <xf numFmtId="2" fontId="5" fillId="0" borderId="0" xfId="0" applyNumberFormat="1" applyFont="1" applyAlignment="1">
      <alignment horizontal="center" vertical="center"/>
    </xf>
    <xf numFmtId="4" fontId="45" fillId="5" borderId="10" xfId="0" applyNumberFormat="1" applyFont="1" applyFill="1" applyBorder="1" applyAlignment="1">
      <alignment horizontal="center" vertical="center"/>
    </xf>
    <xf numFmtId="164" fontId="45" fillId="0" borderId="1" xfId="1" applyFont="1" applyBorder="1" applyAlignment="1">
      <alignment vertical="center" wrapText="1"/>
    </xf>
    <xf numFmtId="164" fontId="45" fillId="0" borderId="1" xfId="1" applyFont="1" applyBorder="1" applyAlignment="1">
      <alignment horizontal="center" vertical="center"/>
    </xf>
    <xf numFmtId="43" fontId="1" fillId="0" borderId="0" xfId="1" applyNumberFormat="1" applyFont="1"/>
  </cellXfs>
  <cellStyles count="2">
    <cellStyle name="Normal" xfId="0" builtinId="0"/>
    <cellStyle name="Virgulă"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topLeftCell="A49" zoomScale="60" zoomScaleNormal="100" workbookViewId="0">
      <selection activeCell="F85" sqref="A1:G85"/>
    </sheetView>
  </sheetViews>
  <sheetFormatPr defaultRowHeight="15" x14ac:dyDescent="0.25"/>
  <cols>
    <col min="1" max="1" width="5.7109375" customWidth="1"/>
    <col min="2" max="2" width="46.85546875" customWidth="1"/>
    <col min="3" max="3" width="8.85546875" customWidth="1"/>
    <col min="4" max="4" width="9.85546875" customWidth="1"/>
    <col min="5" max="5" width="9.42578125" customWidth="1"/>
    <col min="6" max="6" width="13.42578125" bestFit="1" customWidth="1"/>
    <col min="7" max="7" width="13.42578125" hidden="1" customWidth="1"/>
    <col min="9" max="9" width="10.140625" bestFit="1" customWidth="1"/>
    <col min="257" max="257" width="5.7109375" customWidth="1"/>
    <col min="258" max="258" width="51.140625" customWidth="1"/>
    <col min="259" max="259" width="6.42578125" customWidth="1"/>
    <col min="260" max="260" width="6.85546875" customWidth="1"/>
    <col min="261" max="261" width="9.42578125" customWidth="1"/>
    <col min="262" max="262" width="10.140625" bestFit="1" customWidth="1"/>
    <col min="513" max="513" width="5.7109375" customWidth="1"/>
    <col min="514" max="514" width="51.140625" customWidth="1"/>
    <col min="515" max="515" width="6.42578125" customWidth="1"/>
    <col min="516" max="516" width="6.85546875" customWidth="1"/>
    <col min="517" max="517" width="9.42578125" customWidth="1"/>
    <col min="518" max="518" width="10.140625" bestFit="1" customWidth="1"/>
    <col min="769" max="769" width="5.7109375" customWidth="1"/>
    <col min="770" max="770" width="51.140625" customWidth="1"/>
    <col min="771" max="771" width="6.42578125" customWidth="1"/>
    <col min="772" max="772" width="6.85546875" customWidth="1"/>
    <col min="773" max="773" width="9.42578125" customWidth="1"/>
    <col min="774" max="774" width="10.140625" bestFit="1" customWidth="1"/>
    <col min="1025" max="1025" width="5.7109375" customWidth="1"/>
    <col min="1026" max="1026" width="51.140625" customWidth="1"/>
    <col min="1027" max="1027" width="6.42578125" customWidth="1"/>
    <col min="1028" max="1028" width="6.85546875" customWidth="1"/>
    <col min="1029" max="1029" width="9.42578125" customWidth="1"/>
    <col min="1030" max="1030" width="10.140625" bestFit="1" customWidth="1"/>
    <col min="1281" max="1281" width="5.7109375" customWidth="1"/>
    <col min="1282" max="1282" width="51.140625" customWidth="1"/>
    <col min="1283" max="1283" width="6.42578125" customWidth="1"/>
    <col min="1284" max="1284" width="6.85546875" customWidth="1"/>
    <col min="1285" max="1285" width="9.42578125" customWidth="1"/>
    <col min="1286" max="1286" width="10.140625" bestFit="1" customWidth="1"/>
    <col min="1537" max="1537" width="5.7109375" customWidth="1"/>
    <col min="1538" max="1538" width="51.140625" customWidth="1"/>
    <col min="1539" max="1539" width="6.42578125" customWidth="1"/>
    <col min="1540" max="1540" width="6.85546875" customWidth="1"/>
    <col min="1541" max="1541" width="9.42578125" customWidth="1"/>
    <col min="1542" max="1542" width="10.140625" bestFit="1" customWidth="1"/>
    <col min="1793" max="1793" width="5.7109375" customWidth="1"/>
    <col min="1794" max="1794" width="51.140625" customWidth="1"/>
    <col min="1795" max="1795" width="6.42578125" customWidth="1"/>
    <col min="1796" max="1796" width="6.85546875" customWidth="1"/>
    <col min="1797" max="1797" width="9.42578125" customWidth="1"/>
    <col min="1798" max="1798" width="10.140625" bestFit="1" customWidth="1"/>
    <col min="2049" max="2049" width="5.7109375" customWidth="1"/>
    <col min="2050" max="2050" width="51.140625" customWidth="1"/>
    <col min="2051" max="2051" width="6.42578125" customWidth="1"/>
    <col min="2052" max="2052" width="6.85546875" customWidth="1"/>
    <col min="2053" max="2053" width="9.42578125" customWidth="1"/>
    <col min="2054" max="2054" width="10.140625" bestFit="1" customWidth="1"/>
    <col min="2305" max="2305" width="5.7109375" customWidth="1"/>
    <col min="2306" max="2306" width="51.140625" customWidth="1"/>
    <col min="2307" max="2307" width="6.42578125" customWidth="1"/>
    <col min="2308" max="2308" width="6.85546875" customWidth="1"/>
    <col min="2309" max="2309" width="9.42578125" customWidth="1"/>
    <col min="2310" max="2310" width="10.140625" bestFit="1" customWidth="1"/>
    <col min="2561" max="2561" width="5.7109375" customWidth="1"/>
    <col min="2562" max="2562" width="51.140625" customWidth="1"/>
    <col min="2563" max="2563" width="6.42578125" customWidth="1"/>
    <col min="2564" max="2564" width="6.85546875" customWidth="1"/>
    <col min="2565" max="2565" width="9.42578125" customWidth="1"/>
    <col min="2566" max="2566" width="10.140625" bestFit="1" customWidth="1"/>
    <col min="2817" max="2817" width="5.7109375" customWidth="1"/>
    <col min="2818" max="2818" width="51.140625" customWidth="1"/>
    <col min="2819" max="2819" width="6.42578125" customWidth="1"/>
    <col min="2820" max="2820" width="6.85546875" customWidth="1"/>
    <col min="2821" max="2821" width="9.42578125" customWidth="1"/>
    <col min="2822" max="2822" width="10.140625" bestFit="1" customWidth="1"/>
    <col min="3073" max="3073" width="5.7109375" customWidth="1"/>
    <col min="3074" max="3074" width="51.140625" customWidth="1"/>
    <col min="3075" max="3075" width="6.42578125" customWidth="1"/>
    <col min="3076" max="3076" width="6.85546875" customWidth="1"/>
    <col min="3077" max="3077" width="9.42578125" customWidth="1"/>
    <col min="3078" max="3078" width="10.140625" bestFit="1" customWidth="1"/>
    <col min="3329" max="3329" width="5.7109375" customWidth="1"/>
    <col min="3330" max="3330" width="51.140625" customWidth="1"/>
    <col min="3331" max="3331" width="6.42578125" customWidth="1"/>
    <col min="3332" max="3332" width="6.85546875" customWidth="1"/>
    <col min="3333" max="3333" width="9.42578125" customWidth="1"/>
    <col min="3334" max="3334" width="10.140625" bestFit="1" customWidth="1"/>
    <col min="3585" max="3585" width="5.7109375" customWidth="1"/>
    <col min="3586" max="3586" width="51.140625" customWidth="1"/>
    <col min="3587" max="3587" width="6.42578125" customWidth="1"/>
    <col min="3588" max="3588" width="6.85546875" customWidth="1"/>
    <col min="3589" max="3589" width="9.42578125" customWidth="1"/>
    <col min="3590" max="3590" width="10.140625" bestFit="1" customWidth="1"/>
    <col min="3841" max="3841" width="5.7109375" customWidth="1"/>
    <col min="3842" max="3842" width="51.140625" customWidth="1"/>
    <col min="3843" max="3843" width="6.42578125" customWidth="1"/>
    <col min="3844" max="3844" width="6.85546875" customWidth="1"/>
    <col min="3845" max="3845" width="9.42578125" customWidth="1"/>
    <col min="3846" max="3846" width="10.140625" bestFit="1" customWidth="1"/>
    <col min="4097" max="4097" width="5.7109375" customWidth="1"/>
    <col min="4098" max="4098" width="51.140625" customWidth="1"/>
    <col min="4099" max="4099" width="6.42578125" customWidth="1"/>
    <col min="4100" max="4100" width="6.85546875" customWidth="1"/>
    <col min="4101" max="4101" width="9.42578125" customWidth="1"/>
    <col min="4102" max="4102" width="10.140625" bestFit="1" customWidth="1"/>
    <col min="4353" max="4353" width="5.7109375" customWidth="1"/>
    <col min="4354" max="4354" width="51.140625" customWidth="1"/>
    <col min="4355" max="4355" width="6.42578125" customWidth="1"/>
    <col min="4356" max="4356" width="6.85546875" customWidth="1"/>
    <col min="4357" max="4357" width="9.42578125" customWidth="1"/>
    <col min="4358" max="4358" width="10.140625" bestFit="1" customWidth="1"/>
    <col min="4609" max="4609" width="5.7109375" customWidth="1"/>
    <col min="4610" max="4610" width="51.140625" customWidth="1"/>
    <col min="4611" max="4611" width="6.42578125" customWidth="1"/>
    <col min="4612" max="4612" width="6.85546875" customWidth="1"/>
    <col min="4613" max="4613" width="9.42578125" customWidth="1"/>
    <col min="4614" max="4614" width="10.140625" bestFit="1" customWidth="1"/>
    <col min="4865" max="4865" width="5.7109375" customWidth="1"/>
    <col min="4866" max="4866" width="51.140625" customWidth="1"/>
    <col min="4867" max="4867" width="6.42578125" customWidth="1"/>
    <col min="4868" max="4868" width="6.85546875" customWidth="1"/>
    <col min="4869" max="4869" width="9.42578125" customWidth="1"/>
    <col min="4870" max="4870" width="10.140625" bestFit="1" customWidth="1"/>
    <col min="5121" max="5121" width="5.7109375" customWidth="1"/>
    <col min="5122" max="5122" width="51.140625" customWidth="1"/>
    <col min="5123" max="5123" width="6.42578125" customWidth="1"/>
    <col min="5124" max="5124" width="6.85546875" customWidth="1"/>
    <col min="5125" max="5125" width="9.42578125" customWidth="1"/>
    <col min="5126" max="5126" width="10.140625" bestFit="1" customWidth="1"/>
    <col min="5377" max="5377" width="5.7109375" customWidth="1"/>
    <col min="5378" max="5378" width="51.140625" customWidth="1"/>
    <col min="5379" max="5379" width="6.42578125" customWidth="1"/>
    <col min="5380" max="5380" width="6.85546875" customWidth="1"/>
    <col min="5381" max="5381" width="9.42578125" customWidth="1"/>
    <col min="5382" max="5382" width="10.140625" bestFit="1" customWidth="1"/>
    <col min="5633" max="5633" width="5.7109375" customWidth="1"/>
    <col min="5634" max="5634" width="51.140625" customWidth="1"/>
    <col min="5635" max="5635" width="6.42578125" customWidth="1"/>
    <col min="5636" max="5636" width="6.85546875" customWidth="1"/>
    <col min="5637" max="5637" width="9.42578125" customWidth="1"/>
    <col min="5638" max="5638" width="10.140625" bestFit="1" customWidth="1"/>
    <col min="5889" max="5889" width="5.7109375" customWidth="1"/>
    <col min="5890" max="5890" width="51.140625" customWidth="1"/>
    <col min="5891" max="5891" width="6.42578125" customWidth="1"/>
    <col min="5892" max="5892" width="6.85546875" customWidth="1"/>
    <col min="5893" max="5893" width="9.42578125" customWidth="1"/>
    <col min="5894" max="5894" width="10.140625" bestFit="1" customWidth="1"/>
    <col min="6145" max="6145" width="5.7109375" customWidth="1"/>
    <col min="6146" max="6146" width="51.140625" customWidth="1"/>
    <col min="6147" max="6147" width="6.42578125" customWidth="1"/>
    <col min="6148" max="6148" width="6.85546875" customWidth="1"/>
    <col min="6149" max="6149" width="9.42578125" customWidth="1"/>
    <col min="6150" max="6150" width="10.140625" bestFit="1" customWidth="1"/>
    <col min="6401" max="6401" width="5.7109375" customWidth="1"/>
    <col min="6402" max="6402" width="51.140625" customWidth="1"/>
    <col min="6403" max="6403" width="6.42578125" customWidth="1"/>
    <col min="6404" max="6404" width="6.85546875" customWidth="1"/>
    <col min="6405" max="6405" width="9.42578125" customWidth="1"/>
    <col min="6406" max="6406" width="10.140625" bestFit="1" customWidth="1"/>
    <col min="6657" max="6657" width="5.7109375" customWidth="1"/>
    <col min="6658" max="6658" width="51.140625" customWidth="1"/>
    <col min="6659" max="6659" width="6.42578125" customWidth="1"/>
    <col min="6660" max="6660" width="6.85546875" customWidth="1"/>
    <col min="6661" max="6661" width="9.42578125" customWidth="1"/>
    <col min="6662" max="6662" width="10.140625" bestFit="1" customWidth="1"/>
    <col min="6913" max="6913" width="5.7109375" customWidth="1"/>
    <col min="6914" max="6914" width="51.140625" customWidth="1"/>
    <col min="6915" max="6915" width="6.42578125" customWidth="1"/>
    <col min="6916" max="6916" width="6.85546875" customWidth="1"/>
    <col min="6917" max="6917" width="9.42578125" customWidth="1"/>
    <col min="6918" max="6918" width="10.140625" bestFit="1" customWidth="1"/>
    <col min="7169" max="7169" width="5.7109375" customWidth="1"/>
    <col min="7170" max="7170" width="51.140625" customWidth="1"/>
    <col min="7171" max="7171" width="6.42578125" customWidth="1"/>
    <col min="7172" max="7172" width="6.85546875" customWidth="1"/>
    <col min="7173" max="7173" width="9.42578125" customWidth="1"/>
    <col min="7174" max="7174" width="10.140625" bestFit="1" customWidth="1"/>
    <col min="7425" max="7425" width="5.7109375" customWidth="1"/>
    <col min="7426" max="7426" width="51.140625" customWidth="1"/>
    <col min="7427" max="7427" width="6.42578125" customWidth="1"/>
    <col min="7428" max="7428" width="6.85546875" customWidth="1"/>
    <col min="7429" max="7429" width="9.42578125" customWidth="1"/>
    <col min="7430" max="7430" width="10.140625" bestFit="1" customWidth="1"/>
    <col min="7681" max="7681" width="5.7109375" customWidth="1"/>
    <col min="7682" max="7682" width="51.140625" customWidth="1"/>
    <col min="7683" max="7683" width="6.42578125" customWidth="1"/>
    <col min="7684" max="7684" width="6.85546875" customWidth="1"/>
    <col min="7685" max="7685" width="9.42578125" customWidth="1"/>
    <col min="7686" max="7686" width="10.140625" bestFit="1" customWidth="1"/>
    <col min="7937" max="7937" width="5.7109375" customWidth="1"/>
    <col min="7938" max="7938" width="51.140625" customWidth="1"/>
    <col min="7939" max="7939" width="6.42578125" customWidth="1"/>
    <col min="7940" max="7940" width="6.85546875" customWidth="1"/>
    <col min="7941" max="7941" width="9.42578125" customWidth="1"/>
    <col min="7942" max="7942" width="10.140625" bestFit="1" customWidth="1"/>
    <col min="8193" max="8193" width="5.7109375" customWidth="1"/>
    <col min="8194" max="8194" width="51.140625" customWidth="1"/>
    <col min="8195" max="8195" width="6.42578125" customWidth="1"/>
    <col min="8196" max="8196" width="6.85546875" customWidth="1"/>
    <col min="8197" max="8197" width="9.42578125" customWidth="1"/>
    <col min="8198" max="8198" width="10.140625" bestFit="1" customWidth="1"/>
    <col min="8449" max="8449" width="5.7109375" customWidth="1"/>
    <col min="8450" max="8450" width="51.140625" customWidth="1"/>
    <col min="8451" max="8451" width="6.42578125" customWidth="1"/>
    <col min="8452" max="8452" width="6.85546875" customWidth="1"/>
    <col min="8453" max="8453" width="9.42578125" customWidth="1"/>
    <col min="8454" max="8454" width="10.140625" bestFit="1" customWidth="1"/>
    <col min="8705" max="8705" width="5.7109375" customWidth="1"/>
    <col min="8706" max="8706" width="51.140625" customWidth="1"/>
    <col min="8707" max="8707" width="6.42578125" customWidth="1"/>
    <col min="8708" max="8708" width="6.85546875" customWidth="1"/>
    <col min="8709" max="8709" width="9.42578125" customWidth="1"/>
    <col min="8710" max="8710" width="10.140625" bestFit="1" customWidth="1"/>
    <col min="8961" max="8961" width="5.7109375" customWidth="1"/>
    <col min="8962" max="8962" width="51.140625" customWidth="1"/>
    <col min="8963" max="8963" width="6.42578125" customWidth="1"/>
    <col min="8964" max="8964" width="6.85546875" customWidth="1"/>
    <col min="8965" max="8965" width="9.42578125" customWidth="1"/>
    <col min="8966" max="8966" width="10.140625" bestFit="1" customWidth="1"/>
    <col min="9217" max="9217" width="5.7109375" customWidth="1"/>
    <col min="9218" max="9218" width="51.140625" customWidth="1"/>
    <col min="9219" max="9219" width="6.42578125" customWidth="1"/>
    <col min="9220" max="9220" width="6.85546875" customWidth="1"/>
    <col min="9221" max="9221" width="9.42578125" customWidth="1"/>
    <col min="9222" max="9222" width="10.140625" bestFit="1" customWidth="1"/>
    <col min="9473" max="9473" width="5.7109375" customWidth="1"/>
    <col min="9474" max="9474" width="51.140625" customWidth="1"/>
    <col min="9475" max="9475" width="6.42578125" customWidth="1"/>
    <col min="9476" max="9476" width="6.85546875" customWidth="1"/>
    <col min="9477" max="9477" width="9.42578125" customWidth="1"/>
    <col min="9478" max="9478" width="10.140625" bestFit="1" customWidth="1"/>
    <col min="9729" max="9729" width="5.7109375" customWidth="1"/>
    <col min="9730" max="9730" width="51.140625" customWidth="1"/>
    <col min="9731" max="9731" width="6.42578125" customWidth="1"/>
    <col min="9732" max="9732" width="6.85546875" customWidth="1"/>
    <col min="9733" max="9733" width="9.42578125" customWidth="1"/>
    <col min="9734" max="9734" width="10.140625" bestFit="1" customWidth="1"/>
    <col min="9985" max="9985" width="5.7109375" customWidth="1"/>
    <col min="9986" max="9986" width="51.140625" customWidth="1"/>
    <col min="9987" max="9987" width="6.42578125" customWidth="1"/>
    <col min="9988" max="9988" width="6.85546875" customWidth="1"/>
    <col min="9989" max="9989" width="9.42578125" customWidth="1"/>
    <col min="9990" max="9990" width="10.140625" bestFit="1" customWidth="1"/>
    <col min="10241" max="10241" width="5.7109375" customWidth="1"/>
    <col min="10242" max="10242" width="51.140625" customWidth="1"/>
    <col min="10243" max="10243" width="6.42578125" customWidth="1"/>
    <col min="10244" max="10244" width="6.85546875" customWidth="1"/>
    <col min="10245" max="10245" width="9.42578125" customWidth="1"/>
    <col min="10246" max="10246" width="10.140625" bestFit="1" customWidth="1"/>
    <col min="10497" max="10497" width="5.7109375" customWidth="1"/>
    <col min="10498" max="10498" width="51.140625" customWidth="1"/>
    <col min="10499" max="10499" width="6.42578125" customWidth="1"/>
    <col min="10500" max="10500" width="6.85546875" customWidth="1"/>
    <col min="10501" max="10501" width="9.42578125" customWidth="1"/>
    <col min="10502" max="10502" width="10.140625" bestFit="1" customWidth="1"/>
    <col min="10753" max="10753" width="5.7109375" customWidth="1"/>
    <col min="10754" max="10754" width="51.140625" customWidth="1"/>
    <col min="10755" max="10755" width="6.42578125" customWidth="1"/>
    <col min="10756" max="10756" width="6.85546875" customWidth="1"/>
    <col min="10757" max="10757" width="9.42578125" customWidth="1"/>
    <col min="10758" max="10758" width="10.140625" bestFit="1" customWidth="1"/>
    <col min="11009" max="11009" width="5.7109375" customWidth="1"/>
    <col min="11010" max="11010" width="51.140625" customWidth="1"/>
    <col min="11011" max="11011" width="6.42578125" customWidth="1"/>
    <col min="11012" max="11012" width="6.85546875" customWidth="1"/>
    <col min="11013" max="11013" width="9.42578125" customWidth="1"/>
    <col min="11014" max="11014" width="10.140625" bestFit="1" customWidth="1"/>
    <col min="11265" max="11265" width="5.7109375" customWidth="1"/>
    <col min="11266" max="11266" width="51.140625" customWidth="1"/>
    <col min="11267" max="11267" width="6.42578125" customWidth="1"/>
    <col min="11268" max="11268" width="6.85546875" customWidth="1"/>
    <col min="11269" max="11269" width="9.42578125" customWidth="1"/>
    <col min="11270" max="11270" width="10.140625" bestFit="1" customWidth="1"/>
    <col min="11521" max="11521" width="5.7109375" customWidth="1"/>
    <col min="11522" max="11522" width="51.140625" customWidth="1"/>
    <col min="11523" max="11523" width="6.42578125" customWidth="1"/>
    <col min="11524" max="11524" width="6.85546875" customWidth="1"/>
    <col min="11525" max="11525" width="9.42578125" customWidth="1"/>
    <col min="11526" max="11526" width="10.140625" bestFit="1" customWidth="1"/>
    <col min="11777" max="11777" width="5.7109375" customWidth="1"/>
    <col min="11778" max="11778" width="51.140625" customWidth="1"/>
    <col min="11779" max="11779" width="6.42578125" customWidth="1"/>
    <col min="11780" max="11780" width="6.85546875" customWidth="1"/>
    <col min="11781" max="11781" width="9.42578125" customWidth="1"/>
    <col min="11782" max="11782" width="10.140625" bestFit="1" customWidth="1"/>
    <col min="12033" max="12033" width="5.7109375" customWidth="1"/>
    <col min="12034" max="12034" width="51.140625" customWidth="1"/>
    <col min="12035" max="12035" width="6.42578125" customWidth="1"/>
    <col min="12036" max="12036" width="6.85546875" customWidth="1"/>
    <col min="12037" max="12037" width="9.42578125" customWidth="1"/>
    <col min="12038" max="12038" width="10.140625" bestFit="1" customWidth="1"/>
    <col min="12289" max="12289" width="5.7109375" customWidth="1"/>
    <col min="12290" max="12290" width="51.140625" customWidth="1"/>
    <col min="12291" max="12291" width="6.42578125" customWidth="1"/>
    <col min="12292" max="12292" width="6.85546875" customWidth="1"/>
    <col min="12293" max="12293" width="9.42578125" customWidth="1"/>
    <col min="12294" max="12294" width="10.140625" bestFit="1" customWidth="1"/>
    <col min="12545" max="12545" width="5.7109375" customWidth="1"/>
    <col min="12546" max="12546" width="51.140625" customWidth="1"/>
    <col min="12547" max="12547" width="6.42578125" customWidth="1"/>
    <col min="12548" max="12548" width="6.85546875" customWidth="1"/>
    <col min="12549" max="12549" width="9.42578125" customWidth="1"/>
    <col min="12550" max="12550" width="10.140625" bestFit="1" customWidth="1"/>
    <col min="12801" max="12801" width="5.7109375" customWidth="1"/>
    <col min="12802" max="12802" width="51.140625" customWidth="1"/>
    <col min="12803" max="12803" width="6.42578125" customWidth="1"/>
    <col min="12804" max="12804" width="6.85546875" customWidth="1"/>
    <col min="12805" max="12805" width="9.42578125" customWidth="1"/>
    <col min="12806" max="12806" width="10.140625" bestFit="1" customWidth="1"/>
    <col min="13057" max="13057" width="5.7109375" customWidth="1"/>
    <col min="13058" max="13058" width="51.140625" customWidth="1"/>
    <col min="13059" max="13059" width="6.42578125" customWidth="1"/>
    <col min="13060" max="13060" width="6.85546875" customWidth="1"/>
    <col min="13061" max="13061" width="9.42578125" customWidth="1"/>
    <col min="13062" max="13062" width="10.140625" bestFit="1" customWidth="1"/>
    <col min="13313" max="13313" width="5.7109375" customWidth="1"/>
    <col min="13314" max="13314" width="51.140625" customWidth="1"/>
    <col min="13315" max="13315" width="6.42578125" customWidth="1"/>
    <col min="13316" max="13316" width="6.85546875" customWidth="1"/>
    <col min="13317" max="13317" width="9.42578125" customWidth="1"/>
    <col min="13318" max="13318" width="10.140625" bestFit="1" customWidth="1"/>
    <col min="13569" max="13569" width="5.7109375" customWidth="1"/>
    <col min="13570" max="13570" width="51.140625" customWidth="1"/>
    <col min="13571" max="13571" width="6.42578125" customWidth="1"/>
    <col min="13572" max="13572" width="6.85546875" customWidth="1"/>
    <col min="13573" max="13573" width="9.42578125" customWidth="1"/>
    <col min="13574" max="13574" width="10.140625" bestFit="1" customWidth="1"/>
    <col min="13825" max="13825" width="5.7109375" customWidth="1"/>
    <col min="13826" max="13826" width="51.140625" customWidth="1"/>
    <col min="13827" max="13827" width="6.42578125" customWidth="1"/>
    <col min="13828" max="13828" width="6.85546875" customWidth="1"/>
    <col min="13829" max="13829" width="9.42578125" customWidth="1"/>
    <col min="13830" max="13830" width="10.140625" bestFit="1" customWidth="1"/>
    <col min="14081" max="14081" width="5.7109375" customWidth="1"/>
    <col min="14082" max="14082" width="51.140625" customWidth="1"/>
    <col min="14083" max="14083" width="6.42578125" customWidth="1"/>
    <col min="14084" max="14084" width="6.85546875" customWidth="1"/>
    <col min="14085" max="14085" width="9.42578125" customWidth="1"/>
    <col min="14086" max="14086" width="10.140625" bestFit="1" customWidth="1"/>
    <col min="14337" max="14337" width="5.7109375" customWidth="1"/>
    <col min="14338" max="14338" width="51.140625" customWidth="1"/>
    <col min="14339" max="14339" width="6.42578125" customWidth="1"/>
    <col min="14340" max="14340" width="6.85546875" customWidth="1"/>
    <col min="14341" max="14341" width="9.42578125" customWidth="1"/>
    <col min="14342" max="14342" width="10.140625" bestFit="1" customWidth="1"/>
    <col min="14593" max="14593" width="5.7109375" customWidth="1"/>
    <col min="14594" max="14594" width="51.140625" customWidth="1"/>
    <col min="14595" max="14595" width="6.42578125" customWidth="1"/>
    <col min="14596" max="14596" width="6.85546875" customWidth="1"/>
    <col min="14597" max="14597" width="9.42578125" customWidth="1"/>
    <col min="14598" max="14598" width="10.140625" bestFit="1" customWidth="1"/>
    <col min="14849" max="14849" width="5.7109375" customWidth="1"/>
    <col min="14850" max="14850" width="51.140625" customWidth="1"/>
    <col min="14851" max="14851" width="6.42578125" customWidth="1"/>
    <col min="14852" max="14852" width="6.85546875" customWidth="1"/>
    <col min="14853" max="14853" width="9.42578125" customWidth="1"/>
    <col min="14854" max="14854" width="10.140625" bestFit="1" customWidth="1"/>
    <col min="15105" max="15105" width="5.7109375" customWidth="1"/>
    <col min="15106" max="15106" width="51.140625" customWidth="1"/>
    <col min="15107" max="15107" width="6.42578125" customWidth="1"/>
    <col min="15108" max="15108" width="6.85546875" customWidth="1"/>
    <col min="15109" max="15109" width="9.42578125" customWidth="1"/>
    <col min="15110" max="15110" width="10.140625" bestFit="1" customWidth="1"/>
    <col min="15361" max="15361" width="5.7109375" customWidth="1"/>
    <col min="15362" max="15362" width="51.140625" customWidth="1"/>
    <col min="15363" max="15363" width="6.42578125" customWidth="1"/>
    <col min="15364" max="15364" width="6.85546875" customWidth="1"/>
    <col min="15365" max="15365" width="9.42578125" customWidth="1"/>
    <col min="15366" max="15366" width="10.140625" bestFit="1" customWidth="1"/>
    <col min="15617" max="15617" width="5.7109375" customWidth="1"/>
    <col min="15618" max="15618" width="51.140625" customWidth="1"/>
    <col min="15619" max="15619" width="6.42578125" customWidth="1"/>
    <col min="15620" max="15620" width="6.85546875" customWidth="1"/>
    <col min="15621" max="15621" width="9.42578125" customWidth="1"/>
    <col min="15622" max="15622" width="10.140625" bestFit="1" customWidth="1"/>
    <col min="15873" max="15873" width="5.7109375" customWidth="1"/>
    <col min="15874" max="15874" width="51.140625" customWidth="1"/>
    <col min="15875" max="15875" width="6.42578125" customWidth="1"/>
    <col min="15876" max="15876" width="6.85546875" customWidth="1"/>
    <col min="15877" max="15877" width="9.42578125" customWidth="1"/>
    <col min="15878" max="15878" width="10.140625" bestFit="1" customWidth="1"/>
    <col min="16129" max="16129" width="5.7109375" customWidth="1"/>
    <col min="16130" max="16130" width="51.140625" customWidth="1"/>
    <col min="16131" max="16131" width="6.42578125" customWidth="1"/>
    <col min="16132" max="16132" width="6.85546875" customWidth="1"/>
    <col min="16133" max="16133" width="9.42578125" customWidth="1"/>
    <col min="16134" max="16134" width="10.140625" bestFit="1" customWidth="1"/>
  </cols>
  <sheetData>
    <row r="1" spans="1:7" s="27" customFormat="1" ht="38.25" customHeight="1" x14ac:dyDescent="0.2">
      <c r="A1" s="727" t="s">
        <v>140</v>
      </c>
      <c r="B1" s="728"/>
      <c r="C1" s="728"/>
      <c r="D1" s="728"/>
      <c r="E1" s="728"/>
      <c r="F1" s="728"/>
    </row>
    <row r="2" spans="1:7" s="27" customFormat="1" ht="12.75" x14ac:dyDescent="0.2">
      <c r="A2" s="727" t="s">
        <v>29</v>
      </c>
      <c r="B2" s="728"/>
      <c r="C2" s="728"/>
      <c r="D2" s="728"/>
      <c r="E2" s="728"/>
      <c r="F2" s="728"/>
    </row>
    <row r="3" spans="1:7" x14ac:dyDescent="0.25">
      <c r="A3" s="28"/>
      <c r="B3" s="28"/>
      <c r="C3" s="28"/>
      <c r="D3" s="28"/>
      <c r="E3" s="28"/>
      <c r="F3" s="28"/>
      <c r="G3" s="506"/>
    </row>
    <row r="4" spans="1:7" x14ac:dyDescent="0.25">
      <c r="A4" s="729" t="s">
        <v>34</v>
      </c>
      <c r="B4" s="729"/>
      <c r="C4" s="729"/>
      <c r="D4" s="729"/>
      <c r="E4" s="729"/>
      <c r="F4" s="729"/>
    </row>
    <row r="5" spans="1:7" ht="15.75" hidden="1" x14ac:dyDescent="0.25">
      <c r="A5" s="1"/>
      <c r="B5" s="23" t="s">
        <v>11</v>
      </c>
      <c r="C5" s="10">
        <v>4.5019</v>
      </c>
      <c r="D5" s="730" t="s">
        <v>10</v>
      </c>
      <c r="E5" s="730"/>
      <c r="F5" s="731" t="s">
        <v>671</v>
      </c>
      <c r="G5" s="731"/>
    </row>
    <row r="6" spans="1:7" ht="32.25" customHeight="1" x14ac:dyDescent="0.25">
      <c r="A6" s="30" t="s">
        <v>35</v>
      </c>
      <c r="B6" s="30" t="s">
        <v>36</v>
      </c>
      <c r="C6" s="30" t="s">
        <v>37</v>
      </c>
      <c r="D6" s="30" t="s">
        <v>38</v>
      </c>
      <c r="E6" s="30" t="s">
        <v>39</v>
      </c>
      <c r="F6" s="31" t="s">
        <v>680</v>
      </c>
      <c r="G6" s="31" t="s">
        <v>40</v>
      </c>
    </row>
    <row r="7" spans="1:7" x14ac:dyDescent="0.25">
      <c r="A7" s="732" t="s">
        <v>41</v>
      </c>
      <c r="B7" s="733"/>
      <c r="C7" s="733"/>
      <c r="D7" s="733"/>
      <c r="E7" s="733"/>
      <c r="F7" s="733"/>
      <c r="G7" s="734"/>
    </row>
    <row r="8" spans="1:7" ht="15" customHeight="1" x14ac:dyDescent="0.25">
      <c r="A8" s="32">
        <v>1</v>
      </c>
      <c r="B8" s="33" t="s">
        <v>42</v>
      </c>
      <c r="C8" s="32" t="s">
        <v>43</v>
      </c>
      <c r="D8" s="34">
        <v>100</v>
      </c>
      <c r="E8" s="35">
        <v>122</v>
      </c>
      <c r="F8" s="35">
        <f t="shared" ref="F8:F22" si="0">D8*E8</f>
        <v>12200</v>
      </c>
      <c r="G8" s="35">
        <f>F8/C5</f>
        <v>2709.9669028632356</v>
      </c>
    </row>
    <row r="9" spans="1:7" ht="15" customHeight="1" x14ac:dyDescent="0.25">
      <c r="A9" s="36">
        <f t="shared" ref="A9:A22" si="1">A8+1</f>
        <v>2</v>
      </c>
      <c r="B9" s="36" t="s">
        <v>44</v>
      </c>
      <c r="C9" s="36" t="s">
        <v>43</v>
      </c>
      <c r="D9" s="37">
        <v>200</v>
      </c>
      <c r="E9" s="38">
        <v>54</v>
      </c>
      <c r="F9" s="38">
        <f t="shared" si="0"/>
        <v>10800</v>
      </c>
      <c r="G9" s="38">
        <f>F9/C5</f>
        <v>2398.987094337946</v>
      </c>
    </row>
    <row r="10" spans="1:7" ht="15" customHeight="1" x14ac:dyDescent="0.25">
      <c r="A10" s="36">
        <f t="shared" si="1"/>
        <v>3</v>
      </c>
      <c r="B10" s="36" t="s">
        <v>45</v>
      </c>
      <c r="C10" s="36" t="s">
        <v>43</v>
      </c>
      <c r="D10" s="37">
        <v>200</v>
      </c>
      <c r="E10" s="38">
        <v>360</v>
      </c>
      <c r="F10" s="38">
        <f t="shared" si="0"/>
        <v>72000</v>
      </c>
      <c r="G10" s="38">
        <f>F10/C5</f>
        <v>15993.247295586309</v>
      </c>
    </row>
    <row r="11" spans="1:7" ht="15" customHeight="1" x14ac:dyDescent="0.25">
      <c r="A11" s="36">
        <f t="shared" si="1"/>
        <v>4</v>
      </c>
      <c r="B11" s="36" t="s">
        <v>46</v>
      </c>
      <c r="C11" s="36" t="s">
        <v>47</v>
      </c>
      <c r="D11" s="37">
        <v>200</v>
      </c>
      <c r="E11" s="38">
        <v>162</v>
      </c>
      <c r="F11" s="38">
        <f t="shared" si="0"/>
        <v>32400</v>
      </c>
      <c r="G11" s="38">
        <f>F11/C5</f>
        <v>7196.9612830138385</v>
      </c>
    </row>
    <row r="12" spans="1:7" ht="15" customHeight="1" x14ac:dyDescent="0.25">
      <c r="A12" s="36">
        <f t="shared" si="1"/>
        <v>5</v>
      </c>
      <c r="B12" s="36" t="s">
        <v>48</v>
      </c>
      <c r="C12" s="36" t="s">
        <v>47</v>
      </c>
      <c r="D12" s="37">
        <v>400</v>
      </c>
      <c r="E12" s="38">
        <v>67</v>
      </c>
      <c r="F12" s="38">
        <f t="shared" si="0"/>
        <v>26800</v>
      </c>
      <c r="G12" s="38">
        <f>F12/C5</f>
        <v>5953.0420489126809</v>
      </c>
    </row>
    <row r="13" spans="1:7" ht="15" customHeight="1" x14ac:dyDescent="0.25">
      <c r="A13" s="36">
        <f t="shared" si="1"/>
        <v>6</v>
      </c>
      <c r="B13" s="36" t="s">
        <v>49</v>
      </c>
      <c r="C13" s="36" t="s">
        <v>43</v>
      </c>
      <c r="D13" s="37">
        <v>20</v>
      </c>
      <c r="E13" s="38">
        <v>280</v>
      </c>
      <c r="F13" s="38">
        <f t="shared" si="0"/>
        <v>5600</v>
      </c>
      <c r="G13" s="38">
        <f>F13/C5</f>
        <v>1243.9192341011574</v>
      </c>
    </row>
    <row r="14" spans="1:7" ht="15" customHeight="1" x14ac:dyDescent="0.25">
      <c r="A14" s="36">
        <f t="shared" si="1"/>
        <v>7</v>
      </c>
      <c r="B14" s="39" t="s">
        <v>50</v>
      </c>
      <c r="C14" s="36" t="s">
        <v>43</v>
      </c>
      <c r="D14" s="37">
        <v>20</v>
      </c>
      <c r="E14" s="38">
        <v>420</v>
      </c>
      <c r="F14" s="38">
        <f t="shared" si="0"/>
        <v>8400</v>
      </c>
      <c r="G14" s="38">
        <f>F14/C5</f>
        <v>1865.8788511517359</v>
      </c>
    </row>
    <row r="15" spans="1:7" ht="15" customHeight="1" x14ac:dyDescent="0.25">
      <c r="A15" s="36">
        <f t="shared" si="1"/>
        <v>8</v>
      </c>
      <c r="B15" s="39" t="s">
        <v>51</v>
      </c>
      <c r="C15" s="36" t="s">
        <v>43</v>
      </c>
      <c r="D15" s="37">
        <v>10</v>
      </c>
      <c r="E15" s="38">
        <v>270</v>
      </c>
      <c r="F15" s="38">
        <f t="shared" si="0"/>
        <v>2700</v>
      </c>
      <c r="G15" s="38">
        <f>F15/C5</f>
        <v>599.7467735844865</v>
      </c>
    </row>
    <row r="16" spans="1:7" ht="15" customHeight="1" x14ac:dyDescent="0.25">
      <c r="A16" s="36">
        <f t="shared" si="1"/>
        <v>9</v>
      </c>
      <c r="B16" s="39" t="s">
        <v>52</v>
      </c>
      <c r="C16" s="36" t="s">
        <v>43</v>
      </c>
      <c r="D16" s="37">
        <v>20</v>
      </c>
      <c r="E16" s="38">
        <v>90</v>
      </c>
      <c r="F16" s="38">
        <f t="shared" si="0"/>
        <v>1800</v>
      </c>
      <c r="G16" s="38">
        <f>F16/C5</f>
        <v>399.83118238965773</v>
      </c>
    </row>
    <row r="17" spans="1:7" ht="15" customHeight="1" x14ac:dyDescent="0.25">
      <c r="A17" s="36">
        <f t="shared" si="1"/>
        <v>10</v>
      </c>
      <c r="B17" s="36" t="s">
        <v>53</v>
      </c>
      <c r="C17" s="36" t="s">
        <v>43</v>
      </c>
      <c r="D17" s="37">
        <v>10</v>
      </c>
      <c r="E17" s="38">
        <v>193</v>
      </c>
      <c r="F17" s="38">
        <f t="shared" si="0"/>
        <v>1930</v>
      </c>
      <c r="G17" s="38">
        <f>F17/C5</f>
        <v>428.70787889557744</v>
      </c>
    </row>
    <row r="18" spans="1:7" ht="15" customHeight="1" x14ac:dyDescent="0.25">
      <c r="A18" s="36">
        <f t="shared" si="1"/>
        <v>11</v>
      </c>
      <c r="B18" s="39" t="s">
        <v>54</v>
      </c>
      <c r="C18" s="36" t="s">
        <v>43</v>
      </c>
      <c r="D18" s="37">
        <v>200</v>
      </c>
      <c r="E18" s="38">
        <v>153</v>
      </c>
      <c r="F18" s="38">
        <f t="shared" si="0"/>
        <v>30600</v>
      </c>
      <c r="G18" s="38">
        <f>F18/C5</f>
        <v>6797.1301006241811</v>
      </c>
    </row>
    <row r="19" spans="1:7" ht="15" customHeight="1" x14ac:dyDescent="0.25">
      <c r="A19" s="36">
        <f t="shared" si="1"/>
        <v>12</v>
      </c>
      <c r="B19" s="39" t="s">
        <v>55</v>
      </c>
      <c r="C19" s="36" t="s">
        <v>43</v>
      </c>
      <c r="D19" s="37">
        <v>50</v>
      </c>
      <c r="E19" s="38">
        <v>180</v>
      </c>
      <c r="F19" s="38">
        <f t="shared" si="0"/>
        <v>9000</v>
      </c>
      <c r="G19" s="38">
        <f>F19/C5</f>
        <v>1999.1559119482886</v>
      </c>
    </row>
    <row r="20" spans="1:7" ht="15" customHeight="1" x14ac:dyDescent="0.25">
      <c r="A20" s="36">
        <f t="shared" si="1"/>
        <v>13</v>
      </c>
      <c r="B20" s="39" t="s">
        <v>56</v>
      </c>
      <c r="C20" s="36" t="s">
        <v>43</v>
      </c>
      <c r="D20" s="37">
        <v>100</v>
      </c>
      <c r="E20" s="38">
        <v>54</v>
      </c>
      <c r="F20" s="38">
        <f t="shared" si="0"/>
        <v>5400</v>
      </c>
      <c r="G20" s="38">
        <f>F20/C5</f>
        <v>1199.493547168973</v>
      </c>
    </row>
    <row r="21" spans="1:7" ht="15" customHeight="1" x14ac:dyDescent="0.25">
      <c r="A21" s="36">
        <f t="shared" si="1"/>
        <v>14</v>
      </c>
      <c r="B21" s="36" t="s">
        <v>57</v>
      </c>
      <c r="C21" s="36" t="s">
        <v>43</v>
      </c>
      <c r="D21" s="37">
        <v>10</v>
      </c>
      <c r="E21" s="38">
        <v>990</v>
      </c>
      <c r="F21" s="38">
        <f t="shared" si="0"/>
        <v>9900</v>
      </c>
      <c r="G21" s="38">
        <f>F21/C5</f>
        <v>2199.0715031431173</v>
      </c>
    </row>
    <row r="22" spans="1:7" ht="15" customHeight="1" x14ac:dyDescent="0.25">
      <c r="A22" s="36">
        <f t="shared" si="1"/>
        <v>15</v>
      </c>
      <c r="B22" s="36" t="s">
        <v>58</v>
      </c>
      <c r="C22" s="36" t="s">
        <v>43</v>
      </c>
      <c r="D22" s="37">
        <v>10</v>
      </c>
      <c r="E22" s="38">
        <v>1620</v>
      </c>
      <c r="F22" s="38">
        <f t="shared" si="0"/>
        <v>16200</v>
      </c>
      <c r="G22" s="38">
        <f>F22/C5</f>
        <v>3598.4806415069193</v>
      </c>
    </row>
    <row r="23" spans="1:7" ht="15" customHeight="1" x14ac:dyDescent="0.25">
      <c r="A23" s="239"/>
      <c r="B23" s="722" t="s">
        <v>382</v>
      </c>
      <c r="C23" s="723"/>
      <c r="D23" s="723"/>
      <c r="E23" s="723"/>
      <c r="F23" s="500">
        <f>SUM(F8:F22)</f>
        <v>245730</v>
      </c>
      <c r="G23" s="500">
        <f>SUM(G8:G22)</f>
        <v>54583.620249228101</v>
      </c>
    </row>
    <row r="24" spans="1:7" x14ac:dyDescent="0.25">
      <c r="A24" s="511" t="s">
        <v>59</v>
      </c>
      <c r="B24" s="512"/>
      <c r="C24" s="512"/>
      <c r="D24" s="512"/>
      <c r="E24" s="512"/>
      <c r="F24" s="512"/>
      <c r="G24" s="513"/>
    </row>
    <row r="25" spans="1:7" ht="15" customHeight="1" x14ac:dyDescent="0.25">
      <c r="A25" s="40">
        <f>A22+1</f>
        <v>16</v>
      </c>
      <c r="B25" s="40" t="s">
        <v>60</v>
      </c>
      <c r="C25" s="40" t="s">
        <v>43</v>
      </c>
      <c r="D25" s="41">
        <v>1</v>
      </c>
      <c r="E25" s="42">
        <v>1260</v>
      </c>
      <c r="F25" s="42">
        <f t="shared" ref="F25:F31" si="2">D25*E25</f>
        <v>1260</v>
      </c>
      <c r="G25" s="42">
        <f>F25/C5</f>
        <v>279.88182767276038</v>
      </c>
    </row>
    <row r="26" spans="1:7" ht="15" customHeight="1" x14ac:dyDescent="0.25">
      <c r="A26" s="33">
        <f t="shared" ref="A26:A31" si="3">A25+1</f>
        <v>17</v>
      </c>
      <c r="B26" s="43" t="s">
        <v>61</v>
      </c>
      <c r="C26" s="43" t="s">
        <v>43</v>
      </c>
      <c r="D26" s="44">
        <v>2</v>
      </c>
      <c r="E26" s="45">
        <v>540</v>
      </c>
      <c r="F26" s="45">
        <f t="shared" si="2"/>
        <v>1080</v>
      </c>
      <c r="G26" s="45">
        <f>F26/C5</f>
        <v>239.89870943379461</v>
      </c>
    </row>
    <row r="27" spans="1:7" ht="15" customHeight="1" x14ac:dyDescent="0.25">
      <c r="A27" s="46">
        <f t="shared" si="3"/>
        <v>18</v>
      </c>
      <c r="B27" s="43" t="s">
        <v>62</v>
      </c>
      <c r="C27" s="43" t="s">
        <v>43</v>
      </c>
      <c r="D27" s="44">
        <v>1</v>
      </c>
      <c r="E27" s="45">
        <v>700</v>
      </c>
      <c r="F27" s="45">
        <f t="shared" si="2"/>
        <v>700</v>
      </c>
      <c r="G27" s="45">
        <f>F27/C5</f>
        <v>155.48990426264467</v>
      </c>
    </row>
    <row r="28" spans="1:7" ht="15" customHeight="1" x14ac:dyDescent="0.25">
      <c r="A28" s="46">
        <f t="shared" si="3"/>
        <v>19</v>
      </c>
      <c r="B28" s="43" t="s">
        <v>63</v>
      </c>
      <c r="C28" s="43" t="s">
        <v>43</v>
      </c>
      <c r="D28" s="44">
        <v>4</v>
      </c>
      <c r="E28" s="45">
        <v>90</v>
      </c>
      <c r="F28" s="45">
        <f t="shared" si="2"/>
        <v>360</v>
      </c>
      <c r="G28" s="45">
        <f>F28/C5</f>
        <v>79.966236477931545</v>
      </c>
    </row>
    <row r="29" spans="1:7" ht="15" customHeight="1" x14ac:dyDescent="0.25">
      <c r="A29" s="46">
        <f t="shared" si="3"/>
        <v>20</v>
      </c>
      <c r="B29" s="39" t="s">
        <v>64</v>
      </c>
      <c r="C29" s="36" t="s">
        <v>43</v>
      </c>
      <c r="D29" s="37">
        <v>2</v>
      </c>
      <c r="E29" s="38">
        <v>270</v>
      </c>
      <c r="F29" s="35">
        <f t="shared" ref="F29" si="4">D29*E29</f>
        <v>540</v>
      </c>
      <c r="G29" s="35">
        <f>F29/C5</f>
        <v>119.9493547168973</v>
      </c>
    </row>
    <row r="30" spans="1:7" ht="15" customHeight="1" x14ac:dyDescent="0.25">
      <c r="A30" s="46">
        <f t="shared" si="3"/>
        <v>21</v>
      </c>
      <c r="B30" s="39" t="s">
        <v>58</v>
      </c>
      <c r="C30" s="36" t="s">
        <v>43</v>
      </c>
      <c r="D30" s="37">
        <v>1</v>
      </c>
      <c r="E30" s="38">
        <v>1620</v>
      </c>
      <c r="F30" s="35">
        <f t="shared" si="2"/>
        <v>1620</v>
      </c>
      <c r="G30" s="35">
        <f>F30/C5</f>
        <v>359.84806415069193</v>
      </c>
    </row>
    <row r="31" spans="1:7" ht="15" customHeight="1" x14ac:dyDescent="0.25">
      <c r="A31" s="39">
        <f t="shared" si="3"/>
        <v>22</v>
      </c>
      <c r="B31" s="39" t="s">
        <v>65</v>
      </c>
      <c r="C31" s="36" t="s">
        <v>43</v>
      </c>
      <c r="D31" s="37">
        <v>1</v>
      </c>
      <c r="E31" s="38">
        <v>517</v>
      </c>
      <c r="F31" s="35">
        <f t="shared" si="2"/>
        <v>517</v>
      </c>
      <c r="G31" s="35">
        <f>F31/C5</f>
        <v>114.84040071969613</v>
      </c>
    </row>
    <row r="32" spans="1:7" ht="15" customHeight="1" x14ac:dyDescent="0.25">
      <c r="A32" s="498"/>
      <c r="B32" s="499" t="s">
        <v>382</v>
      </c>
      <c r="C32" s="68"/>
      <c r="D32" s="70"/>
      <c r="E32" s="251"/>
      <c r="F32" s="500">
        <f>SUM(F25:F31)</f>
        <v>6077</v>
      </c>
      <c r="G32" s="500">
        <f>SUM(G25:G31)</f>
        <v>1349.8744974344165</v>
      </c>
    </row>
    <row r="33" spans="1:7" x14ac:dyDescent="0.25">
      <c r="A33" s="732" t="s">
        <v>66</v>
      </c>
      <c r="B33" s="733"/>
      <c r="C33" s="733"/>
      <c r="D33" s="733"/>
      <c r="E33" s="733"/>
      <c r="F33" s="733"/>
      <c r="G33" s="734"/>
    </row>
    <row r="34" spans="1:7" ht="15" customHeight="1" x14ac:dyDescent="0.25">
      <c r="A34" s="47">
        <f>A31+1</f>
        <v>23</v>
      </c>
      <c r="B34" s="43" t="s">
        <v>67</v>
      </c>
      <c r="C34" s="43" t="s">
        <v>43</v>
      </c>
      <c r="D34" s="44">
        <v>10</v>
      </c>
      <c r="E34" s="45">
        <v>530</v>
      </c>
      <c r="F34" s="45">
        <f>D34*E34</f>
        <v>5300</v>
      </c>
      <c r="G34" s="45">
        <f>F34/C5</f>
        <v>1177.2807037028811</v>
      </c>
    </row>
    <row r="35" spans="1:7" ht="15" customHeight="1" x14ac:dyDescent="0.25">
      <c r="A35" s="36">
        <f>A34+1</f>
        <v>24</v>
      </c>
      <c r="B35" s="39" t="s">
        <v>63</v>
      </c>
      <c r="C35" s="36" t="s">
        <v>43</v>
      </c>
      <c r="D35" s="37">
        <v>12</v>
      </c>
      <c r="E35" s="38">
        <v>90</v>
      </c>
      <c r="F35" s="38">
        <f>D35*E35</f>
        <v>1080</v>
      </c>
      <c r="G35" s="38">
        <f>F35/C5</f>
        <v>239.89870943379461</v>
      </c>
    </row>
    <row r="36" spans="1:7" ht="15" customHeight="1" x14ac:dyDescent="0.25">
      <c r="A36" s="36">
        <f>A35+1</f>
        <v>25</v>
      </c>
      <c r="B36" s="39" t="s">
        <v>68</v>
      </c>
      <c r="C36" s="36" t="s">
        <v>43</v>
      </c>
      <c r="D36" s="37">
        <v>5</v>
      </c>
      <c r="E36" s="38">
        <v>420</v>
      </c>
      <c r="F36" s="38">
        <f>D36*E36</f>
        <v>2100</v>
      </c>
      <c r="G36" s="38">
        <f>F36/C5</f>
        <v>466.46971278793399</v>
      </c>
    </row>
    <row r="37" spans="1:7" ht="15" customHeight="1" x14ac:dyDescent="0.25">
      <c r="A37" s="239"/>
      <c r="B37" s="499" t="s">
        <v>382</v>
      </c>
      <c r="C37" s="68"/>
      <c r="D37" s="70"/>
      <c r="E37" s="251"/>
      <c r="F37" s="500">
        <f>SUM(F34:F36)</f>
        <v>8480</v>
      </c>
      <c r="G37" s="500">
        <f>SUM(G34:G36)</f>
        <v>1883.6491259246097</v>
      </c>
    </row>
    <row r="38" spans="1:7" x14ac:dyDescent="0.25">
      <c r="A38" s="732" t="s">
        <v>69</v>
      </c>
      <c r="B38" s="733"/>
      <c r="C38" s="733"/>
      <c r="D38" s="733"/>
      <c r="E38" s="733"/>
      <c r="F38" s="733"/>
      <c r="G38" s="734"/>
    </row>
    <row r="39" spans="1:7" ht="15" customHeight="1" x14ac:dyDescent="0.25">
      <c r="A39" s="32">
        <f>A36+1</f>
        <v>26</v>
      </c>
      <c r="B39" s="33" t="s">
        <v>70</v>
      </c>
      <c r="C39" s="32" t="s">
        <v>43</v>
      </c>
      <c r="D39" s="34">
        <v>4</v>
      </c>
      <c r="E39" s="35">
        <v>2950</v>
      </c>
      <c r="F39" s="35">
        <f t="shared" ref="F39:F47" si="5">D39*E39</f>
        <v>11800</v>
      </c>
      <c r="G39" s="35">
        <f>F39/C5</f>
        <v>2621.1155289988669</v>
      </c>
    </row>
    <row r="40" spans="1:7" ht="15" customHeight="1" x14ac:dyDescent="0.25">
      <c r="A40" s="36">
        <f t="shared" ref="A40:A47" si="6">A39+1</f>
        <v>27</v>
      </c>
      <c r="B40" s="39" t="s">
        <v>71</v>
      </c>
      <c r="C40" s="36" t="s">
        <v>43</v>
      </c>
      <c r="D40" s="37">
        <v>2</v>
      </c>
      <c r="E40" s="38">
        <v>1000</v>
      </c>
      <c r="F40" s="38">
        <f t="shared" si="5"/>
        <v>2000</v>
      </c>
      <c r="G40" s="38">
        <f>F40/C5</f>
        <v>444.25686932184186</v>
      </c>
    </row>
    <row r="41" spans="1:7" ht="15" customHeight="1" x14ac:dyDescent="0.25">
      <c r="A41" s="36">
        <f t="shared" si="6"/>
        <v>28</v>
      </c>
      <c r="B41" s="39" t="s">
        <v>72</v>
      </c>
      <c r="C41" s="39" t="s">
        <v>43</v>
      </c>
      <c r="D41" s="37">
        <v>2</v>
      </c>
      <c r="E41" s="38">
        <v>250</v>
      </c>
      <c r="F41" s="38">
        <f t="shared" si="5"/>
        <v>500</v>
      </c>
      <c r="G41" s="38">
        <f>F41/C5</f>
        <v>111.06421733046047</v>
      </c>
    </row>
    <row r="42" spans="1:7" ht="15" customHeight="1" x14ac:dyDescent="0.25">
      <c r="A42" s="36">
        <f t="shared" si="6"/>
        <v>29</v>
      </c>
      <c r="B42" s="47" t="s">
        <v>73</v>
      </c>
      <c r="C42" s="47" t="s">
        <v>43</v>
      </c>
      <c r="D42" s="44">
        <v>2</v>
      </c>
      <c r="E42" s="45">
        <v>500</v>
      </c>
      <c r="F42" s="45">
        <f t="shared" si="5"/>
        <v>1000</v>
      </c>
      <c r="G42" s="45">
        <f>F42/C5</f>
        <v>222.12843466092093</v>
      </c>
    </row>
    <row r="43" spans="1:7" ht="15" customHeight="1" x14ac:dyDescent="0.25">
      <c r="A43" s="36">
        <f t="shared" si="6"/>
        <v>30</v>
      </c>
      <c r="B43" s="47" t="s">
        <v>74</v>
      </c>
      <c r="C43" s="47" t="s">
        <v>43</v>
      </c>
      <c r="D43" s="44">
        <v>6</v>
      </c>
      <c r="E43" s="45">
        <v>150</v>
      </c>
      <c r="F43" s="45">
        <f t="shared" si="5"/>
        <v>900</v>
      </c>
      <c r="G43" s="45">
        <f>F43/C5</f>
        <v>199.91559119482886</v>
      </c>
    </row>
    <row r="44" spans="1:7" ht="15" customHeight="1" x14ac:dyDescent="0.25">
      <c r="A44" s="36">
        <f t="shared" si="6"/>
        <v>31</v>
      </c>
      <c r="B44" s="36" t="s">
        <v>75</v>
      </c>
      <c r="C44" s="36" t="s">
        <v>43</v>
      </c>
      <c r="D44" s="37">
        <v>4</v>
      </c>
      <c r="E44" s="38">
        <v>90</v>
      </c>
      <c r="F44" s="38">
        <f t="shared" si="5"/>
        <v>360</v>
      </c>
      <c r="G44" s="38">
        <f>F44/C5</f>
        <v>79.966236477931545</v>
      </c>
    </row>
    <row r="45" spans="1:7" ht="15" customHeight="1" x14ac:dyDescent="0.25">
      <c r="A45" s="36">
        <f t="shared" si="6"/>
        <v>32</v>
      </c>
      <c r="B45" s="36" t="s">
        <v>76</v>
      </c>
      <c r="C45" s="36" t="s">
        <v>47</v>
      </c>
      <c r="D45" s="37">
        <v>1</v>
      </c>
      <c r="E45" s="38">
        <v>2300</v>
      </c>
      <c r="F45" s="38">
        <f t="shared" si="5"/>
        <v>2300</v>
      </c>
      <c r="G45" s="38">
        <f>F45/C5</f>
        <v>510.89539972011818</v>
      </c>
    </row>
    <row r="46" spans="1:7" ht="15" customHeight="1" x14ac:dyDescent="0.25">
      <c r="A46" s="36">
        <f t="shared" si="6"/>
        <v>33</v>
      </c>
      <c r="B46" s="36" t="s">
        <v>77</v>
      </c>
      <c r="C46" s="267" t="s">
        <v>47</v>
      </c>
      <c r="D46" s="376">
        <v>1</v>
      </c>
      <c r="E46" s="381">
        <v>500</v>
      </c>
      <c r="F46" s="381">
        <f t="shared" si="5"/>
        <v>500</v>
      </c>
      <c r="G46" s="381">
        <f>F46/C5</f>
        <v>111.06421733046047</v>
      </c>
    </row>
    <row r="47" spans="1:7" ht="15" customHeight="1" x14ac:dyDescent="0.25">
      <c r="A47" s="36">
        <f t="shared" si="6"/>
        <v>34</v>
      </c>
      <c r="B47" s="36" t="s">
        <v>78</v>
      </c>
      <c r="C47" s="36" t="s">
        <v>43</v>
      </c>
      <c r="D47" s="37">
        <v>2</v>
      </c>
      <c r="E47" s="38">
        <v>787</v>
      </c>
      <c r="F47" s="38">
        <f t="shared" si="5"/>
        <v>1574</v>
      </c>
      <c r="G47" s="38">
        <f>F47/C5</f>
        <v>349.63015615628956</v>
      </c>
    </row>
    <row r="48" spans="1:7" ht="15" customHeight="1" x14ac:dyDescent="0.25">
      <c r="A48" s="239"/>
      <c r="B48" s="499" t="s">
        <v>382</v>
      </c>
      <c r="C48" s="68"/>
      <c r="D48" s="70"/>
      <c r="E48" s="251"/>
      <c r="F48" s="500">
        <f>SUM(F39:F47)</f>
        <v>20934</v>
      </c>
      <c r="G48" s="500">
        <f>SUM(G39:G47)</f>
        <v>4650.0366511917182</v>
      </c>
    </row>
    <row r="49" spans="1:7" x14ac:dyDescent="0.25">
      <c r="A49" s="724" t="s">
        <v>79</v>
      </c>
      <c r="B49" s="725"/>
      <c r="C49" s="725"/>
      <c r="D49" s="725"/>
      <c r="E49" s="725"/>
      <c r="F49" s="725"/>
      <c r="G49" s="726"/>
    </row>
    <row r="50" spans="1:7" ht="15" customHeight="1" x14ac:dyDescent="0.25">
      <c r="A50" s="48">
        <f>A47+1</f>
        <v>35</v>
      </c>
      <c r="B50" s="49" t="s">
        <v>80</v>
      </c>
      <c r="C50" s="49" t="s">
        <v>81</v>
      </c>
      <c r="D50" s="49">
        <v>1</v>
      </c>
      <c r="E50" s="50">
        <v>7428</v>
      </c>
      <c r="F50" s="50">
        <f t="shared" ref="F50:F83" si="7">D50*E50</f>
        <v>7428</v>
      </c>
      <c r="G50" s="50">
        <f>F50/C5</f>
        <v>1649.9700126613209</v>
      </c>
    </row>
    <row r="51" spans="1:7" ht="15" customHeight="1" x14ac:dyDescent="0.25">
      <c r="A51" s="51">
        <f t="shared" ref="A51:A83" si="8">A50+1</f>
        <v>36</v>
      </c>
      <c r="B51" s="52" t="s">
        <v>82</v>
      </c>
      <c r="C51" s="52" t="s">
        <v>43</v>
      </c>
      <c r="D51" s="52">
        <v>1</v>
      </c>
      <c r="E51" s="53">
        <v>600</v>
      </c>
      <c r="F51" s="53">
        <f t="shared" si="7"/>
        <v>600</v>
      </c>
      <c r="G51" s="53">
        <f>F51/C5</f>
        <v>133.27706079655258</v>
      </c>
    </row>
    <row r="52" spans="1:7" ht="15" customHeight="1" x14ac:dyDescent="0.25">
      <c r="A52" s="51">
        <f t="shared" si="8"/>
        <v>37</v>
      </c>
      <c r="B52" s="52" t="s">
        <v>83</v>
      </c>
      <c r="C52" s="52" t="s">
        <v>47</v>
      </c>
      <c r="D52" s="52">
        <v>1</v>
      </c>
      <c r="E52" s="53">
        <v>4000</v>
      </c>
      <c r="F52" s="53">
        <f t="shared" si="7"/>
        <v>4000</v>
      </c>
      <c r="G52" s="53">
        <f>F52/C5</f>
        <v>888.51373864368372</v>
      </c>
    </row>
    <row r="53" spans="1:7" ht="15" customHeight="1" x14ac:dyDescent="0.25">
      <c r="A53" s="51">
        <f t="shared" si="8"/>
        <v>38</v>
      </c>
      <c r="B53" s="52" t="s">
        <v>84</v>
      </c>
      <c r="C53" s="52" t="s">
        <v>47</v>
      </c>
      <c r="D53" s="52">
        <v>1</v>
      </c>
      <c r="E53" s="53">
        <v>3800</v>
      </c>
      <c r="F53" s="53">
        <f t="shared" si="7"/>
        <v>3800</v>
      </c>
      <c r="G53" s="53">
        <f>F53/C5</f>
        <v>844.08805171149959</v>
      </c>
    </row>
    <row r="54" spans="1:7" ht="15" customHeight="1" x14ac:dyDescent="0.25">
      <c r="A54" s="51">
        <f t="shared" si="8"/>
        <v>39</v>
      </c>
      <c r="B54" s="52" t="s">
        <v>85</v>
      </c>
      <c r="C54" s="52" t="s">
        <v>81</v>
      </c>
      <c r="D54" s="52">
        <v>3</v>
      </c>
      <c r="E54" s="53">
        <v>360</v>
      </c>
      <c r="F54" s="53">
        <f t="shared" si="7"/>
        <v>1080</v>
      </c>
      <c r="G54" s="53">
        <f>F54/C5</f>
        <v>239.89870943379461</v>
      </c>
    </row>
    <row r="55" spans="1:7" ht="15" customHeight="1" x14ac:dyDescent="0.25">
      <c r="A55" s="51">
        <f t="shared" si="8"/>
        <v>40</v>
      </c>
      <c r="B55" s="52" t="s">
        <v>86</v>
      </c>
      <c r="C55" s="52" t="s">
        <v>81</v>
      </c>
      <c r="D55" s="52">
        <v>1</v>
      </c>
      <c r="E55" s="53">
        <v>4300</v>
      </c>
      <c r="F55" s="53">
        <f t="shared" si="7"/>
        <v>4300</v>
      </c>
      <c r="G55" s="53">
        <f>F55/C5</f>
        <v>955.15226904196004</v>
      </c>
    </row>
    <row r="56" spans="1:7" ht="15" customHeight="1" x14ac:dyDescent="0.25">
      <c r="A56" s="51">
        <f t="shared" si="8"/>
        <v>41</v>
      </c>
      <c r="B56" s="52" t="s">
        <v>87</v>
      </c>
      <c r="C56" s="52" t="s">
        <v>81</v>
      </c>
      <c r="D56" s="52">
        <v>1</v>
      </c>
      <c r="E56" s="53">
        <v>1500</v>
      </c>
      <c r="F56" s="53">
        <f t="shared" si="7"/>
        <v>1500</v>
      </c>
      <c r="G56" s="53">
        <f>F56/C5</f>
        <v>333.19265199138141</v>
      </c>
    </row>
    <row r="57" spans="1:7" ht="15" customHeight="1" x14ac:dyDescent="0.25">
      <c r="A57" s="51">
        <f t="shared" si="8"/>
        <v>42</v>
      </c>
      <c r="B57" s="52" t="s">
        <v>88</v>
      </c>
      <c r="C57" s="52" t="s">
        <v>81</v>
      </c>
      <c r="D57" s="52">
        <v>1</v>
      </c>
      <c r="E57" s="53">
        <v>2000</v>
      </c>
      <c r="F57" s="53">
        <f t="shared" si="7"/>
        <v>2000</v>
      </c>
      <c r="G57" s="53">
        <f>F57/C5</f>
        <v>444.25686932184186</v>
      </c>
    </row>
    <row r="58" spans="1:7" ht="15" customHeight="1" x14ac:dyDescent="0.25">
      <c r="A58" s="51">
        <f t="shared" si="8"/>
        <v>43</v>
      </c>
      <c r="B58" s="52" t="s">
        <v>89</v>
      </c>
      <c r="C58" s="52" t="s">
        <v>81</v>
      </c>
      <c r="D58" s="52">
        <v>1</v>
      </c>
      <c r="E58" s="53">
        <v>7000</v>
      </c>
      <c r="F58" s="53">
        <f t="shared" si="7"/>
        <v>7000</v>
      </c>
      <c r="G58" s="53">
        <f>F58/C5</f>
        <v>1554.8990426264465</v>
      </c>
    </row>
    <row r="59" spans="1:7" ht="15" customHeight="1" x14ac:dyDescent="0.25">
      <c r="A59" s="51">
        <f t="shared" si="8"/>
        <v>44</v>
      </c>
      <c r="B59" s="52" t="s">
        <v>90</v>
      </c>
      <c r="C59" s="52" t="s">
        <v>81</v>
      </c>
      <c r="D59" s="52">
        <v>1</v>
      </c>
      <c r="E59" s="53">
        <v>650</v>
      </c>
      <c r="F59" s="53">
        <f t="shared" si="7"/>
        <v>650</v>
      </c>
      <c r="G59" s="53">
        <f>F59/C5</f>
        <v>144.38348252959861</v>
      </c>
    </row>
    <row r="60" spans="1:7" ht="15" customHeight="1" x14ac:dyDescent="0.25">
      <c r="A60" s="51">
        <f t="shared" si="8"/>
        <v>45</v>
      </c>
      <c r="B60" s="52" t="s">
        <v>91</v>
      </c>
      <c r="C60" s="52" t="s">
        <v>81</v>
      </c>
      <c r="D60" s="52">
        <v>1</v>
      </c>
      <c r="E60" s="53">
        <v>2000</v>
      </c>
      <c r="F60" s="53">
        <f t="shared" si="7"/>
        <v>2000</v>
      </c>
      <c r="G60" s="53">
        <f>F60/C5</f>
        <v>444.25686932184186</v>
      </c>
    </row>
    <row r="61" spans="1:7" ht="15" customHeight="1" x14ac:dyDescent="0.25">
      <c r="A61" s="51">
        <f t="shared" si="8"/>
        <v>46</v>
      </c>
      <c r="B61" s="52" t="s">
        <v>92</v>
      </c>
      <c r="C61" s="52" t="s">
        <v>81</v>
      </c>
      <c r="D61" s="52">
        <v>2</v>
      </c>
      <c r="E61" s="53">
        <v>1200</v>
      </c>
      <c r="F61" s="53">
        <f t="shared" si="7"/>
        <v>2400</v>
      </c>
      <c r="G61" s="53">
        <f>F61/C5</f>
        <v>533.1082431862103</v>
      </c>
    </row>
    <row r="62" spans="1:7" ht="30" x14ac:dyDescent="0.25">
      <c r="A62" s="54">
        <f t="shared" si="8"/>
        <v>47</v>
      </c>
      <c r="B62" s="55" t="s">
        <v>93</v>
      </c>
      <c r="C62" s="56" t="s">
        <v>81</v>
      </c>
      <c r="D62" s="56">
        <v>2</v>
      </c>
      <c r="E62" s="57">
        <v>2500</v>
      </c>
      <c r="F62" s="57">
        <f t="shared" si="7"/>
        <v>5000</v>
      </c>
      <c r="G62" s="57">
        <f>F62/C5</f>
        <v>1110.6421733046047</v>
      </c>
    </row>
    <row r="63" spans="1:7" ht="15" customHeight="1" x14ac:dyDescent="0.25">
      <c r="A63" s="51">
        <f t="shared" si="8"/>
        <v>48</v>
      </c>
      <c r="B63" s="52" t="s">
        <v>94</v>
      </c>
      <c r="C63" s="52" t="s">
        <v>81</v>
      </c>
      <c r="D63" s="52">
        <v>4</v>
      </c>
      <c r="E63" s="53">
        <v>1800</v>
      </c>
      <c r="F63" s="53">
        <f t="shared" si="7"/>
        <v>7200</v>
      </c>
      <c r="G63" s="53">
        <f>F63/C5</f>
        <v>1599.3247295586309</v>
      </c>
    </row>
    <row r="64" spans="1:7" ht="15" customHeight="1" x14ac:dyDescent="0.25">
      <c r="A64" s="51">
        <f t="shared" si="8"/>
        <v>49</v>
      </c>
      <c r="B64" s="52" t="s">
        <v>95</v>
      </c>
      <c r="C64" s="52" t="s">
        <v>81</v>
      </c>
      <c r="D64" s="52">
        <v>1</v>
      </c>
      <c r="E64" s="53">
        <v>1890</v>
      </c>
      <c r="F64" s="53">
        <f t="shared" si="7"/>
        <v>1890</v>
      </c>
      <c r="G64" s="53">
        <f>F64/C5</f>
        <v>419.8227415091406</v>
      </c>
    </row>
    <row r="65" spans="1:7" ht="15" customHeight="1" x14ac:dyDescent="0.25">
      <c r="A65" s="51">
        <f t="shared" si="8"/>
        <v>50</v>
      </c>
      <c r="B65" s="52" t="s">
        <v>96</v>
      </c>
      <c r="C65" s="52" t="s">
        <v>81</v>
      </c>
      <c r="D65" s="52">
        <v>1</v>
      </c>
      <c r="E65" s="53">
        <v>900</v>
      </c>
      <c r="F65" s="53">
        <f t="shared" si="7"/>
        <v>900</v>
      </c>
      <c r="G65" s="53">
        <f>F65/C5</f>
        <v>199.91559119482886</v>
      </c>
    </row>
    <row r="66" spans="1:7" ht="15" customHeight="1" x14ac:dyDescent="0.25">
      <c r="A66" s="51">
        <f t="shared" si="8"/>
        <v>51</v>
      </c>
      <c r="B66" s="52" t="s">
        <v>97</v>
      </c>
      <c r="C66" s="52" t="s">
        <v>81</v>
      </c>
      <c r="D66" s="52">
        <v>1</v>
      </c>
      <c r="E66" s="53">
        <v>2500</v>
      </c>
      <c r="F66" s="53">
        <f t="shared" si="7"/>
        <v>2500</v>
      </c>
      <c r="G66" s="53">
        <f>F66/C5</f>
        <v>555.32108665230237</v>
      </c>
    </row>
    <row r="67" spans="1:7" ht="15" customHeight="1" x14ac:dyDescent="0.25">
      <c r="A67" s="51">
        <f t="shared" si="8"/>
        <v>52</v>
      </c>
      <c r="B67" s="52" t="s">
        <v>98</v>
      </c>
      <c r="C67" s="52" t="s">
        <v>81</v>
      </c>
      <c r="D67" s="52">
        <v>1</v>
      </c>
      <c r="E67" s="53">
        <v>450</v>
      </c>
      <c r="F67" s="53">
        <f t="shared" si="7"/>
        <v>450</v>
      </c>
      <c r="G67" s="53">
        <f>F67/C5</f>
        <v>99.957795597414432</v>
      </c>
    </row>
    <row r="68" spans="1:7" ht="15" customHeight="1" x14ac:dyDescent="0.25">
      <c r="A68" s="51">
        <f t="shared" si="8"/>
        <v>53</v>
      </c>
      <c r="B68" s="52" t="s">
        <v>99</v>
      </c>
      <c r="C68" s="52" t="s">
        <v>81</v>
      </c>
      <c r="D68" s="52">
        <v>5</v>
      </c>
      <c r="E68" s="53">
        <v>1800</v>
      </c>
      <c r="F68" s="53">
        <f t="shared" si="7"/>
        <v>9000</v>
      </c>
      <c r="G68" s="53">
        <f>F68/C5</f>
        <v>1999.1559119482886</v>
      </c>
    </row>
    <row r="69" spans="1:7" ht="15" customHeight="1" x14ac:dyDescent="0.25">
      <c r="A69" s="51">
        <f t="shared" si="8"/>
        <v>54</v>
      </c>
      <c r="B69" s="52" t="s">
        <v>100</v>
      </c>
      <c r="C69" s="52" t="s">
        <v>81</v>
      </c>
      <c r="D69" s="52">
        <v>1</v>
      </c>
      <c r="E69" s="53">
        <v>900</v>
      </c>
      <c r="F69" s="53">
        <f t="shared" si="7"/>
        <v>900</v>
      </c>
      <c r="G69" s="53">
        <f>F69/C5</f>
        <v>199.91559119482886</v>
      </c>
    </row>
    <row r="70" spans="1:7" ht="15" customHeight="1" x14ac:dyDescent="0.25">
      <c r="A70" s="51">
        <f t="shared" si="8"/>
        <v>55</v>
      </c>
      <c r="B70" s="52" t="s">
        <v>101</v>
      </c>
      <c r="C70" s="52" t="s">
        <v>47</v>
      </c>
      <c r="D70" s="52">
        <v>210</v>
      </c>
      <c r="E70" s="53">
        <f>1*C5</f>
        <v>4.5019</v>
      </c>
      <c r="F70" s="53">
        <f t="shared" si="7"/>
        <v>945.399</v>
      </c>
      <c r="G70" s="53">
        <f>F70/C5</f>
        <v>210</v>
      </c>
    </row>
    <row r="71" spans="1:7" ht="15" customHeight="1" x14ac:dyDescent="0.25">
      <c r="A71" s="51">
        <f t="shared" si="8"/>
        <v>56</v>
      </c>
      <c r="B71" s="52" t="s">
        <v>102</v>
      </c>
      <c r="C71" s="52" t="s">
        <v>47</v>
      </c>
      <c r="D71" s="52">
        <v>210</v>
      </c>
      <c r="E71" s="53">
        <v>13</v>
      </c>
      <c r="F71" s="53">
        <f t="shared" si="7"/>
        <v>2730</v>
      </c>
      <c r="G71" s="53">
        <f>F71/C5</f>
        <v>606.4106266243142</v>
      </c>
    </row>
    <row r="72" spans="1:7" ht="15" customHeight="1" x14ac:dyDescent="0.25">
      <c r="A72" s="51">
        <f t="shared" si="8"/>
        <v>57</v>
      </c>
      <c r="B72" s="52" t="s">
        <v>103</v>
      </c>
      <c r="C72" s="52" t="s">
        <v>43</v>
      </c>
      <c r="D72" s="52">
        <v>210</v>
      </c>
      <c r="E72" s="53">
        <v>3</v>
      </c>
      <c r="F72" s="53">
        <f t="shared" si="7"/>
        <v>630</v>
      </c>
      <c r="G72" s="53">
        <f>F72/C5</f>
        <v>139.94091383638019</v>
      </c>
    </row>
    <row r="73" spans="1:7" ht="15" customHeight="1" x14ac:dyDescent="0.25">
      <c r="A73" s="51">
        <f t="shared" si="8"/>
        <v>58</v>
      </c>
      <c r="B73" s="52" t="s">
        <v>104</v>
      </c>
      <c r="C73" s="52" t="s">
        <v>47</v>
      </c>
      <c r="D73" s="52">
        <v>1</v>
      </c>
      <c r="E73" s="53">
        <v>5400</v>
      </c>
      <c r="F73" s="53">
        <f t="shared" si="7"/>
        <v>5400</v>
      </c>
      <c r="G73" s="53">
        <f>F73/C5</f>
        <v>1199.493547168973</v>
      </c>
    </row>
    <row r="74" spans="1:7" ht="15" customHeight="1" x14ac:dyDescent="0.25">
      <c r="A74" s="51">
        <f t="shared" si="8"/>
        <v>59</v>
      </c>
      <c r="B74" s="52" t="s">
        <v>105</v>
      </c>
      <c r="C74" s="52" t="s">
        <v>47</v>
      </c>
      <c r="D74" s="52">
        <v>1</v>
      </c>
      <c r="E74" s="53">
        <v>500</v>
      </c>
      <c r="F74" s="53">
        <f t="shared" si="7"/>
        <v>500</v>
      </c>
      <c r="G74" s="53">
        <f>F74/C5</f>
        <v>111.06421733046047</v>
      </c>
    </row>
    <row r="75" spans="1:7" ht="15" customHeight="1" x14ac:dyDescent="0.25">
      <c r="A75" s="51">
        <f t="shared" si="8"/>
        <v>60</v>
      </c>
      <c r="B75" s="52" t="s">
        <v>106</v>
      </c>
      <c r="C75" s="52" t="s">
        <v>81</v>
      </c>
      <c r="D75" s="52">
        <v>2</v>
      </c>
      <c r="E75" s="53">
        <v>720</v>
      </c>
      <c r="F75" s="53">
        <f t="shared" si="7"/>
        <v>1440</v>
      </c>
      <c r="G75" s="53">
        <f>F75/C5</f>
        <v>319.86494591172618</v>
      </c>
    </row>
    <row r="76" spans="1:7" ht="15" customHeight="1" x14ac:dyDescent="0.25">
      <c r="A76" s="51">
        <f t="shared" si="8"/>
        <v>61</v>
      </c>
      <c r="B76" s="39" t="s">
        <v>107</v>
      </c>
      <c r="C76" s="36" t="s">
        <v>47</v>
      </c>
      <c r="D76" s="37">
        <v>1</v>
      </c>
      <c r="E76" s="38">
        <v>3200</v>
      </c>
      <c r="F76" s="38">
        <f t="shared" si="7"/>
        <v>3200</v>
      </c>
      <c r="G76" s="38">
        <f>F76/C5</f>
        <v>710.81099091494707</v>
      </c>
    </row>
    <row r="77" spans="1:7" ht="15" customHeight="1" x14ac:dyDescent="0.25">
      <c r="A77" s="51">
        <f t="shared" si="8"/>
        <v>62</v>
      </c>
      <c r="B77" s="39" t="s">
        <v>108</v>
      </c>
      <c r="C77" s="36" t="s">
        <v>47</v>
      </c>
      <c r="D77" s="37">
        <v>1</v>
      </c>
      <c r="E77" s="38">
        <v>2500</v>
      </c>
      <c r="F77" s="38">
        <f t="shared" si="7"/>
        <v>2500</v>
      </c>
      <c r="G77" s="38">
        <f>F77/C5</f>
        <v>555.32108665230237</v>
      </c>
    </row>
    <row r="78" spans="1:7" ht="15" customHeight="1" x14ac:dyDescent="0.25">
      <c r="A78" s="51">
        <f t="shared" si="8"/>
        <v>63</v>
      </c>
      <c r="B78" s="36" t="s">
        <v>109</v>
      </c>
      <c r="C78" s="36" t="s">
        <v>47</v>
      </c>
      <c r="D78" s="37">
        <v>1</v>
      </c>
      <c r="E78" s="38">
        <v>2300</v>
      </c>
      <c r="F78" s="38">
        <f t="shared" si="7"/>
        <v>2300</v>
      </c>
      <c r="G78" s="38">
        <f>F78/C5</f>
        <v>510.89539972011818</v>
      </c>
    </row>
    <row r="79" spans="1:7" ht="15" customHeight="1" x14ac:dyDescent="0.25">
      <c r="A79" s="51">
        <f t="shared" si="8"/>
        <v>64</v>
      </c>
      <c r="B79" s="36" t="s">
        <v>110</v>
      </c>
      <c r="C79" s="36" t="s">
        <v>43</v>
      </c>
      <c r="D79" s="37">
        <v>2</v>
      </c>
      <c r="E79" s="38">
        <v>405</v>
      </c>
      <c r="F79" s="38">
        <f t="shared" si="7"/>
        <v>810</v>
      </c>
      <c r="G79" s="38">
        <f>F79/C5</f>
        <v>179.92403207534596</v>
      </c>
    </row>
    <row r="80" spans="1:7" ht="15" customHeight="1" x14ac:dyDescent="0.25">
      <c r="A80" s="51">
        <f t="shared" si="8"/>
        <v>65</v>
      </c>
      <c r="B80" s="36" t="s">
        <v>111</v>
      </c>
      <c r="C80" s="36" t="s">
        <v>43</v>
      </c>
      <c r="D80" s="37">
        <v>2</v>
      </c>
      <c r="E80" s="38">
        <v>1170</v>
      </c>
      <c r="F80" s="38">
        <f t="shared" si="7"/>
        <v>2340</v>
      </c>
      <c r="G80" s="38">
        <f>F80/C5</f>
        <v>519.78053710655502</v>
      </c>
    </row>
    <row r="81" spans="1:9" ht="15" customHeight="1" x14ac:dyDescent="0.25">
      <c r="A81" s="51">
        <f t="shared" si="8"/>
        <v>66</v>
      </c>
      <c r="B81" s="52" t="s">
        <v>112</v>
      </c>
      <c r="C81" s="52" t="s">
        <v>81</v>
      </c>
      <c r="D81" s="52">
        <v>3</v>
      </c>
      <c r="E81" s="53">
        <v>157</v>
      </c>
      <c r="F81" s="53">
        <f t="shared" si="7"/>
        <v>471</v>
      </c>
      <c r="G81" s="53">
        <f>F81/C5</f>
        <v>104.62249272529377</v>
      </c>
    </row>
    <row r="82" spans="1:9" ht="15" customHeight="1" x14ac:dyDescent="0.25">
      <c r="A82" s="51">
        <f t="shared" si="8"/>
        <v>67</v>
      </c>
      <c r="B82" s="39" t="s">
        <v>113</v>
      </c>
      <c r="C82" s="39" t="s">
        <v>43</v>
      </c>
      <c r="D82" s="37">
        <v>3</v>
      </c>
      <c r="E82" s="38">
        <v>400</v>
      </c>
      <c r="F82" s="38">
        <f t="shared" si="7"/>
        <v>1200</v>
      </c>
      <c r="G82" s="38">
        <f>F82/C5</f>
        <v>266.55412159310515</v>
      </c>
    </row>
    <row r="83" spans="1:9" ht="15" customHeight="1" x14ac:dyDescent="0.25">
      <c r="A83" s="645">
        <f t="shared" si="8"/>
        <v>68</v>
      </c>
      <c r="B83" s="58" t="s">
        <v>114</v>
      </c>
      <c r="C83" s="58" t="s">
        <v>81</v>
      </c>
      <c r="D83" s="58">
        <v>2</v>
      </c>
      <c r="E83" s="59">
        <v>216</v>
      </c>
      <c r="F83" s="59">
        <f t="shared" si="7"/>
        <v>432</v>
      </c>
      <c r="G83" s="53">
        <f>F83/C5</f>
        <v>95.959483773517846</v>
      </c>
    </row>
    <row r="84" spans="1:9" ht="15" customHeight="1" x14ac:dyDescent="0.25">
      <c r="A84" s="646"/>
      <c r="B84" s="719" t="s">
        <v>382</v>
      </c>
      <c r="C84" s="720"/>
      <c r="D84" s="720"/>
      <c r="E84" s="721"/>
      <c r="F84" s="625">
        <f>SUM(F50:F83)</f>
        <v>89496.399000000005</v>
      </c>
      <c r="G84" s="500">
        <f>SUM(G50:G83)</f>
        <v>19879.695017659211</v>
      </c>
    </row>
    <row r="85" spans="1:9" x14ac:dyDescent="0.25">
      <c r="A85" s="63"/>
      <c r="B85" s="64" t="s">
        <v>775</v>
      </c>
      <c r="C85" s="65"/>
      <c r="D85" s="66"/>
      <c r="E85" s="66"/>
      <c r="F85" s="67">
        <f>F23+F32+F37+F48+F84</f>
        <v>370717.39899999998</v>
      </c>
      <c r="G85" s="67">
        <f>G23+G32+G37+G48+G84+'PLATF. BET'!G45+'TJ+TS'!G38</f>
        <v>87482.749061507362</v>
      </c>
      <c r="I85" s="642"/>
    </row>
    <row r="86" spans="1:9" x14ac:dyDescent="0.25">
      <c r="A86" s="68"/>
      <c r="B86" s="69"/>
      <c r="C86" s="68"/>
      <c r="D86" s="70"/>
      <c r="E86" s="70"/>
      <c r="F86" s="71"/>
      <c r="G86" s="71"/>
    </row>
  </sheetData>
  <mergeCells count="11">
    <mergeCell ref="B84:E84"/>
    <mergeCell ref="B23:E23"/>
    <mergeCell ref="A49:G49"/>
    <mergeCell ref="A1:F1"/>
    <mergeCell ref="A2:F2"/>
    <mergeCell ref="A4:F4"/>
    <mergeCell ref="D5:E5"/>
    <mergeCell ref="F5:G5"/>
    <mergeCell ref="A7:G7"/>
    <mergeCell ref="A33:G33"/>
    <mergeCell ref="A38:G38"/>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activeCell="F41" sqref="A1:G41"/>
    </sheetView>
  </sheetViews>
  <sheetFormatPr defaultRowHeight="15" x14ac:dyDescent="0.25"/>
  <cols>
    <col min="1" max="1" width="5.28515625" customWidth="1"/>
    <col min="2" max="2" width="45.28515625" customWidth="1"/>
    <col min="4" max="4" width="10.85546875" customWidth="1"/>
    <col min="5" max="5" width="9.42578125" bestFit="1" customWidth="1"/>
    <col min="6" max="6" width="13.28515625" bestFit="1" customWidth="1"/>
    <col min="7" max="7" width="12.7109375" hidden="1" customWidth="1"/>
    <col min="9" max="9" width="12.5703125" bestFit="1" customWidth="1"/>
    <col min="257" max="257" width="5.28515625" customWidth="1"/>
    <col min="258" max="258" width="45.28515625" customWidth="1"/>
    <col min="260" max="260" width="9" customWidth="1"/>
    <col min="513" max="513" width="5.28515625" customWidth="1"/>
    <col min="514" max="514" width="45.28515625" customWidth="1"/>
    <col min="516" max="516" width="9" customWidth="1"/>
    <col min="769" max="769" width="5.28515625" customWidth="1"/>
    <col min="770" max="770" width="45.28515625" customWidth="1"/>
    <col min="772" max="772" width="9" customWidth="1"/>
    <col min="1025" max="1025" width="5.28515625" customWidth="1"/>
    <col min="1026" max="1026" width="45.28515625" customWidth="1"/>
    <col min="1028" max="1028" width="9" customWidth="1"/>
    <col min="1281" max="1281" width="5.28515625" customWidth="1"/>
    <col min="1282" max="1282" width="45.28515625" customWidth="1"/>
    <col min="1284" max="1284" width="9" customWidth="1"/>
    <col min="1537" max="1537" width="5.28515625" customWidth="1"/>
    <col min="1538" max="1538" width="45.28515625" customWidth="1"/>
    <col min="1540" max="1540" width="9" customWidth="1"/>
    <col min="1793" max="1793" width="5.28515625" customWidth="1"/>
    <col min="1794" max="1794" width="45.28515625" customWidth="1"/>
    <col min="1796" max="1796" width="9" customWidth="1"/>
    <col min="2049" max="2049" width="5.28515625" customWidth="1"/>
    <col min="2050" max="2050" width="45.28515625" customWidth="1"/>
    <col min="2052" max="2052" width="9" customWidth="1"/>
    <col min="2305" max="2305" width="5.28515625" customWidth="1"/>
    <col min="2306" max="2306" width="45.28515625" customWidth="1"/>
    <col min="2308" max="2308" width="9" customWidth="1"/>
    <col min="2561" max="2561" width="5.28515625" customWidth="1"/>
    <col min="2562" max="2562" width="45.28515625" customWidth="1"/>
    <col min="2564" max="2564" width="9" customWidth="1"/>
    <col min="2817" max="2817" width="5.28515625" customWidth="1"/>
    <col min="2818" max="2818" width="45.28515625" customWidth="1"/>
    <col min="2820" max="2820" width="9" customWidth="1"/>
    <col min="3073" max="3073" width="5.28515625" customWidth="1"/>
    <col min="3074" max="3074" width="45.28515625" customWidth="1"/>
    <col min="3076" max="3076" width="9" customWidth="1"/>
    <col min="3329" max="3329" width="5.28515625" customWidth="1"/>
    <col min="3330" max="3330" width="45.28515625" customWidth="1"/>
    <col min="3332" max="3332" width="9" customWidth="1"/>
    <col min="3585" max="3585" width="5.28515625" customWidth="1"/>
    <col min="3586" max="3586" width="45.28515625" customWidth="1"/>
    <col min="3588" max="3588" width="9" customWidth="1"/>
    <col min="3841" max="3841" width="5.28515625" customWidth="1"/>
    <col min="3842" max="3842" width="45.28515625" customWidth="1"/>
    <col min="3844" max="3844" width="9" customWidth="1"/>
    <col min="4097" max="4097" width="5.28515625" customWidth="1"/>
    <col min="4098" max="4098" width="45.28515625" customWidth="1"/>
    <col min="4100" max="4100" width="9" customWidth="1"/>
    <col min="4353" max="4353" width="5.28515625" customWidth="1"/>
    <col min="4354" max="4354" width="45.28515625" customWidth="1"/>
    <col min="4356" max="4356" width="9" customWidth="1"/>
    <col min="4609" max="4609" width="5.28515625" customWidth="1"/>
    <col min="4610" max="4610" width="45.28515625" customWidth="1"/>
    <col min="4612" max="4612" width="9" customWidth="1"/>
    <col min="4865" max="4865" width="5.28515625" customWidth="1"/>
    <col min="4866" max="4866" width="45.28515625" customWidth="1"/>
    <col min="4868" max="4868" width="9" customWidth="1"/>
    <col min="5121" max="5121" width="5.28515625" customWidth="1"/>
    <col min="5122" max="5122" width="45.28515625" customWidth="1"/>
    <col min="5124" max="5124" width="9" customWidth="1"/>
    <col min="5377" max="5377" width="5.28515625" customWidth="1"/>
    <col min="5378" max="5378" width="45.28515625" customWidth="1"/>
    <col min="5380" max="5380" width="9" customWidth="1"/>
    <col min="5633" max="5633" width="5.28515625" customWidth="1"/>
    <col min="5634" max="5634" width="45.28515625" customWidth="1"/>
    <col min="5636" max="5636" width="9" customWidth="1"/>
    <col min="5889" max="5889" width="5.28515625" customWidth="1"/>
    <col min="5890" max="5890" width="45.28515625" customWidth="1"/>
    <col min="5892" max="5892" width="9" customWidth="1"/>
    <col min="6145" max="6145" width="5.28515625" customWidth="1"/>
    <col min="6146" max="6146" width="45.28515625" customWidth="1"/>
    <col min="6148" max="6148" width="9" customWidth="1"/>
    <col min="6401" max="6401" width="5.28515625" customWidth="1"/>
    <col min="6402" max="6402" width="45.28515625" customWidth="1"/>
    <col min="6404" max="6404" width="9" customWidth="1"/>
    <col min="6657" max="6657" width="5.28515625" customWidth="1"/>
    <col min="6658" max="6658" width="45.28515625" customWidth="1"/>
    <col min="6660" max="6660" width="9" customWidth="1"/>
    <col min="6913" max="6913" width="5.28515625" customWidth="1"/>
    <col min="6914" max="6914" width="45.28515625" customWidth="1"/>
    <col min="6916" max="6916" width="9" customWidth="1"/>
    <col min="7169" max="7169" width="5.28515625" customWidth="1"/>
    <col min="7170" max="7170" width="45.28515625" customWidth="1"/>
    <col min="7172" max="7172" width="9" customWidth="1"/>
    <col min="7425" max="7425" width="5.28515625" customWidth="1"/>
    <col min="7426" max="7426" width="45.28515625" customWidth="1"/>
    <col min="7428" max="7428" width="9" customWidth="1"/>
    <col min="7681" max="7681" width="5.28515625" customWidth="1"/>
    <col min="7682" max="7682" width="45.28515625" customWidth="1"/>
    <col min="7684" max="7684" width="9" customWidth="1"/>
    <col min="7937" max="7937" width="5.28515625" customWidth="1"/>
    <col min="7938" max="7938" width="45.28515625" customWidth="1"/>
    <col min="7940" max="7940" width="9" customWidth="1"/>
    <col min="8193" max="8193" width="5.28515625" customWidth="1"/>
    <col min="8194" max="8194" width="45.28515625" customWidth="1"/>
    <col min="8196" max="8196" width="9" customWidth="1"/>
    <col min="8449" max="8449" width="5.28515625" customWidth="1"/>
    <col min="8450" max="8450" width="45.28515625" customWidth="1"/>
    <col min="8452" max="8452" width="9" customWidth="1"/>
    <col min="8705" max="8705" width="5.28515625" customWidth="1"/>
    <col min="8706" max="8706" width="45.28515625" customWidth="1"/>
    <col min="8708" max="8708" width="9" customWidth="1"/>
    <col min="8961" max="8961" width="5.28515625" customWidth="1"/>
    <col min="8962" max="8962" width="45.28515625" customWidth="1"/>
    <col min="8964" max="8964" width="9" customWidth="1"/>
    <col min="9217" max="9217" width="5.28515625" customWidth="1"/>
    <col min="9218" max="9218" width="45.28515625" customWidth="1"/>
    <col min="9220" max="9220" width="9" customWidth="1"/>
    <col min="9473" max="9473" width="5.28515625" customWidth="1"/>
    <col min="9474" max="9474" width="45.28515625" customWidth="1"/>
    <col min="9476" max="9476" width="9" customWidth="1"/>
    <col min="9729" max="9729" width="5.28515625" customWidth="1"/>
    <col min="9730" max="9730" width="45.28515625" customWidth="1"/>
    <col min="9732" max="9732" width="9" customWidth="1"/>
    <col min="9985" max="9985" width="5.28515625" customWidth="1"/>
    <col min="9986" max="9986" width="45.28515625" customWidth="1"/>
    <col min="9988" max="9988" width="9" customWidth="1"/>
    <col min="10241" max="10241" width="5.28515625" customWidth="1"/>
    <col min="10242" max="10242" width="45.28515625" customWidth="1"/>
    <col min="10244" max="10244" width="9" customWidth="1"/>
    <col min="10497" max="10497" width="5.28515625" customWidth="1"/>
    <col min="10498" max="10498" width="45.28515625" customWidth="1"/>
    <col min="10500" max="10500" width="9" customWidth="1"/>
    <col min="10753" max="10753" width="5.28515625" customWidth="1"/>
    <col min="10754" max="10754" width="45.28515625" customWidth="1"/>
    <col min="10756" max="10756" width="9" customWidth="1"/>
    <col min="11009" max="11009" width="5.28515625" customWidth="1"/>
    <col min="11010" max="11010" width="45.28515625" customWidth="1"/>
    <col min="11012" max="11012" width="9" customWidth="1"/>
    <col min="11265" max="11265" width="5.28515625" customWidth="1"/>
    <col min="11266" max="11266" width="45.28515625" customWidth="1"/>
    <col min="11268" max="11268" width="9" customWidth="1"/>
    <col min="11521" max="11521" width="5.28515625" customWidth="1"/>
    <col min="11522" max="11522" width="45.28515625" customWidth="1"/>
    <col min="11524" max="11524" width="9" customWidth="1"/>
    <col min="11777" max="11777" width="5.28515625" customWidth="1"/>
    <col min="11778" max="11778" width="45.28515625" customWidth="1"/>
    <col min="11780" max="11780" width="9" customWidth="1"/>
    <col min="12033" max="12033" width="5.28515625" customWidth="1"/>
    <col min="12034" max="12034" width="45.28515625" customWidth="1"/>
    <col min="12036" max="12036" width="9" customWidth="1"/>
    <col min="12289" max="12289" width="5.28515625" customWidth="1"/>
    <col min="12290" max="12290" width="45.28515625" customWidth="1"/>
    <col min="12292" max="12292" width="9" customWidth="1"/>
    <col min="12545" max="12545" width="5.28515625" customWidth="1"/>
    <col min="12546" max="12546" width="45.28515625" customWidth="1"/>
    <col min="12548" max="12548" width="9" customWidth="1"/>
    <col min="12801" max="12801" width="5.28515625" customWidth="1"/>
    <col min="12802" max="12802" width="45.28515625" customWidth="1"/>
    <col min="12804" max="12804" width="9" customWidth="1"/>
    <col min="13057" max="13057" width="5.28515625" customWidth="1"/>
    <col min="13058" max="13058" width="45.28515625" customWidth="1"/>
    <col min="13060" max="13060" width="9" customWidth="1"/>
    <col min="13313" max="13313" width="5.28515625" customWidth="1"/>
    <col min="13314" max="13314" width="45.28515625" customWidth="1"/>
    <col min="13316" max="13316" width="9" customWidth="1"/>
    <col min="13569" max="13569" width="5.28515625" customWidth="1"/>
    <col min="13570" max="13570" width="45.28515625" customWidth="1"/>
    <col min="13572" max="13572" width="9" customWidth="1"/>
    <col min="13825" max="13825" width="5.28515625" customWidth="1"/>
    <col min="13826" max="13826" width="45.28515625" customWidth="1"/>
    <col min="13828" max="13828" width="9" customWidth="1"/>
    <col min="14081" max="14081" width="5.28515625" customWidth="1"/>
    <col min="14082" max="14082" width="45.28515625" customWidth="1"/>
    <col min="14084" max="14084" width="9" customWidth="1"/>
    <col min="14337" max="14337" width="5.28515625" customWidth="1"/>
    <col min="14338" max="14338" width="45.28515625" customWidth="1"/>
    <col min="14340" max="14340" width="9" customWidth="1"/>
    <col min="14593" max="14593" width="5.28515625" customWidth="1"/>
    <col min="14594" max="14594" width="45.28515625" customWidth="1"/>
    <col min="14596" max="14596" width="9" customWidth="1"/>
    <col min="14849" max="14849" width="5.28515625" customWidth="1"/>
    <col min="14850" max="14850" width="45.28515625" customWidth="1"/>
    <col min="14852" max="14852" width="9" customWidth="1"/>
    <col min="15105" max="15105" width="5.28515625" customWidth="1"/>
    <col min="15106" max="15106" width="45.28515625" customWidth="1"/>
    <col min="15108" max="15108" width="9" customWidth="1"/>
    <col min="15361" max="15361" width="5.28515625" customWidth="1"/>
    <col min="15362" max="15362" width="45.28515625" customWidth="1"/>
    <col min="15364" max="15364" width="9" customWidth="1"/>
    <col min="15617" max="15617" width="5.28515625" customWidth="1"/>
    <col min="15618" max="15618" width="45.28515625" customWidth="1"/>
    <col min="15620" max="15620" width="9" customWidth="1"/>
    <col min="15873" max="15873" width="5.28515625" customWidth="1"/>
    <col min="15874" max="15874" width="45.28515625" customWidth="1"/>
    <col min="15876" max="15876" width="9" customWidth="1"/>
    <col min="16129" max="16129" width="5.28515625" customWidth="1"/>
    <col min="16130" max="16130" width="45.28515625" customWidth="1"/>
    <col min="16132" max="16132" width="9" customWidth="1"/>
  </cols>
  <sheetData>
    <row r="1" spans="1:11" ht="30.75" customHeight="1" x14ac:dyDescent="0.25">
      <c r="B1" s="140" t="s">
        <v>248</v>
      </c>
      <c r="C1" s="140"/>
      <c r="D1" s="140"/>
      <c r="E1" s="140"/>
    </row>
    <row r="2" spans="1:11" x14ac:dyDescent="0.25">
      <c r="B2" s="140" t="s">
        <v>29</v>
      </c>
      <c r="C2" s="140"/>
      <c r="D2" s="140"/>
      <c r="E2" s="140"/>
    </row>
    <row r="3" spans="1:11" ht="15.75" x14ac:dyDescent="0.25">
      <c r="B3" s="371"/>
      <c r="C3" s="29"/>
    </row>
    <row r="4" spans="1:11" ht="15.75" x14ac:dyDescent="0.25">
      <c r="A4" s="760" t="s">
        <v>520</v>
      </c>
      <c r="B4" s="760"/>
      <c r="C4" s="760"/>
      <c r="D4" s="760"/>
    </row>
    <row r="5" spans="1:11" ht="15.75" x14ac:dyDescent="0.25">
      <c r="A5" s="372"/>
      <c r="B5" s="372"/>
      <c r="C5" s="372"/>
      <c r="D5" s="372"/>
    </row>
    <row r="6" spans="1:11" x14ac:dyDescent="0.25">
      <c r="A6" s="345"/>
      <c r="B6" s="345" t="s">
        <v>555</v>
      </c>
      <c r="C6" s="345"/>
      <c r="D6" s="345"/>
    </row>
    <row r="7" spans="1:11" ht="15.75" thickBot="1" x14ac:dyDescent="0.3">
      <c r="A7" s="345"/>
      <c r="B7" s="345"/>
      <c r="C7" s="345"/>
      <c r="D7" s="345"/>
    </row>
    <row r="8" spans="1:11" ht="16.5" hidden="1" thickBot="1" x14ac:dyDescent="0.3">
      <c r="A8" s="345"/>
      <c r="B8" s="547" t="s">
        <v>11</v>
      </c>
      <c r="C8" s="10">
        <v>4.5019</v>
      </c>
      <c r="D8" s="508" t="s">
        <v>10</v>
      </c>
      <c r="E8" s="508"/>
      <c r="F8" s="509" t="s">
        <v>671</v>
      </c>
      <c r="G8" s="509"/>
    </row>
    <row r="9" spans="1:11" ht="27" thickBot="1" x14ac:dyDescent="0.3">
      <c r="A9" s="317" t="s">
        <v>0</v>
      </c>
      <c r="B9" s="317" t="s">
        <v>198</v>
      </c>
      <c r="C9" s="317" t="s">
        <v>37</v>
      </c>
      <c r="D9" s="317" t="s">
        <v>199</v>
      </c>
      <c r="E9" s="317" t="s">
        <v>200</v>
      </c>
      <c r="F9" s="317" t="s">
        <v>681</v>
      </c>
      <c r="G9" s="317" t="s">
        <v>201</v>
      </c>
    </row>
    <row r="10" spans="1:11" x14ac:dyDescent="0.25">
      <c r="A10" s="373"/>
      <c r="B10" s="374" t="s">
        <v>556</v>
      </c>
      <c r="C10" s="375"/>
      <c r="D10" s="376"/>
      <c r="E10" s="376"/>
      <c r="F10" s="377"/>
      <c r="G10" s="377"/>
    </row>
    <row r="11" spans="1:11" x14ac:dyDescent="0.25">
      <c r="A11" s="378">
        <v>1</v>
      </c>
      <c r="B11" s="132" t="s">
        <v>557</v>
      </c>
      <c r="C11" s="379" t="s">
        <v>146</v>
      </c>
      <c r="D11" s="380">
        <v>29</v>
      </c>
      <c r="E11" s="381">
        <f>7.8*C8</f>
        <v>35.114820000000002</v>
      </c>
      <c r="F11" s="377">
        <f t="shared" ref="F11:F22" si="0">D11*E11</f>
        <v>1018.32978</v>
      </c>
      <c r="G11" s="377">
        <f>F11/C8</f>
        <v>226.20000000000002</v>
      </c>
      <c r="H11" s="68"/>
      <c r="I11" s="399"/>
      <c r="J11" s="68"/>
      <c r="K11" s="68"/>
    </row>
    <row r="12" spans="1:11" x14ac:dyDescent="0.25">
      <c r="A12" s="378">
        <f t="shared" ref="A12:A22" si="1">A11+1</f>
        <v>2</v>
      </c>
      <c r="B12" s="81" t="s">
        <v>558</v>
      </c>
      <c r="C12" s="382" t="s">
        <v>162</v>
      </c>
      <c r="D12" s="380">
        <v>54</v>
      </c>
      <c r="E12" s="381">
        <f>1.495*C8</f>
        <v>6.7303405000000005</v>
      </c>
      <c r="F12" s="377">
        <f t="shared" si="0"/>
        <v>363.43838700000003</v>
      </c>
      <c r="G12" s="377">
        <f>F12/C8</f>
        <v>80.73</v>
      </c>
      <c r="H12" s="68"/>
      <c r="I12" s="399"/>
      <c r="J12" s="68"/>
      <c r="K12" s="68"/>
    </row>
    <row r="13" spans="1:11" x14ac:dyDescent="0.25">
      <c r="A13" s="378">
        <f t="shared" si="1"/>
        <v>3</v>
      </c>
      <c r="B13" s="81" t="s">
        <v>559</v>
      </c>
      <c r="C13" s="382" t="s">
        <v>162</v>
      </c>
      <c r="D13" s="380">
        <v>54</v>
      </c>
      <c r="E13" s="383">
        <f>1.495*C8</f>
        <v>6.7303405000000005</v>
      </c>
      <c r="F13" s="377">
        <f t="shared" si="0"/>
        <v>363.43838700000003</v>
      </c>
      <c r="G13" s="377">
        <f>F13/C8</f>
        <v>80.73</v>
      </c>
      <c r="H13" s="68"/>
      <c r="I13" s="399"/>
      <c r="J13" s="68"/>
      <c r="K13" s="68"/>
    </row>
    <row r="14" spans="1:11" x14ac:dyDescent="0.25">
      <c r="A14" s="378">
        <f t="shared" si="1"/>
        <v>4</v>
      </c>
      <c r="B14" s="81" t="s">
        <v>560</v>
      </c>
      <c r="C14" s="382" t="s">
        <v>146</v>
      </c>
      <c r="D14" s="380">
        <v>19</v>
      </c>
      <c r="E14" s="381">
        <f>7.5*C8</f>
        <v>33.764249999999997</v>
      </c>
      <c r="F14" s="377">
        <f t="shared" si="0"/>
        <v>641.52074999999991</v>
      </c>
      <c r="G14" s="377">
        <f>F14/C8</f>
        <v>142.49999999999997</v>
      </c>
      <c r="H14" s="68"/>
      <c r="I14" s="399"/>
      <c r="J14" s="68"/>
      <c r="K14" s="68"/>
    </row>
    <row r="15" spans="1:11" ht="25.5" x14ac:dyDescent="0.25">
      <c r="A15" s="378">
        <f t="shared" si="1"/>
        <v>5</v>
      </c>
      <c r="B15" s="132" t="s">
        <v>561</v>
      </c>
      <c r="C15" s="382" t="s">
        <v>146</v>
      </c>
      <c r="D15" s="380">
        <v>19</v>
      </c>
      <c r="E15" s="381">
        <f>50*C8</f>
        <v>225.095</v>
      </c>
      <c r="F15" s="377">
        <f t="shared" si="0"/>
        <v>4276.8050000000003</v>
      </c>
      <c r="G15" s="377">
        <f>F15/C8</f>
        <v>950.00000000000011</v>
      </c>
      <c r="H15" s="68"/>
      <c r="I15" s="399"/>
      <c r="J15" s="68"/>
      <c r="K15" s="68"/>
    </row>
    <row r="16" spans="1:11" ht="26.25" x14ac:dyDescent="0.25">
      <c r="A16" s="378">
        <f t="shared" si="1"/>
        <v>6</v>
      </c>
      <c r="B16" s="81" t="s">
        <v>562</v>
      </c>
      <c r="C16" s="382" t="s">
        <v>146</v>
      </c>
      <c r="D16" s="380">
        <v>4.8</v>
      </c>
      <c r="E16" s="381">
        <f>140*C8</f>
        <v>630.26599999999996</v>
      </c>
      <c r="F16" s="377">
        <f t="shared" si="0"/>
        <v>3025.2767999999996</v>
      </c>
      <c r="G16" s="377">
        <f>F16/C8</f>
        <v>671.99999999999989</v>
      </c>
      <c r="H16" s="68"/>
      <c r="I16" s="399"/>
      <c r="J16" s="68"/>
      <c r="K16" s="68"/>
    </row>
    <row r="17" spans="1:11" ht="25.5" x14ac:dyDescent="0.25">
      <c r="A17" s="378">
        <f t="shared" si="1"/>
        <v>7</v>
      </c>
      <c r="B17" s="132" t="s">
        <v>563</v>
      </c>
      <c r="C17" s="382" t="s">
        <v>153</v>
      </c>
      <c r="D17" s="380">
        <v>96</v>
      </c>
      <c r="E17" s="381">
        <f>30*C8</f>
        <v>135.05699999999999</v>
      </c>
      <c r="F17" s="377">
        <f t="shared" si="0"/>
        <v>12965.471999999998</v>
      </c>
      <c r="G17" s="377">
        <f>F17/C8</f>
        <v>2879.9999999999995</v>
      </c>
      <c r="H17" s="68"/>
      <c r="I17" s="399"/>
      <c r="J17" s="68"/>
      <c r="K17" s="68"/>
    </row>
    <row r="18" spans="1:11" ht="26.25" x14ac:dyDescent="0.25">
      <c r="A18" s="378">
        <f t="shared" si="1"/>
        <v>8</v>
      </c>
      <c r="B18" s="81" t="s">
        <v>564</v>
      </c>
      <c r="C18" s="382" t="s">
        <v>153</v>
      </c>
      <c r="D18" s="380">
        <v>96</v>
      </c>
      <c r="E18" s="381">
        <f>41*C8</f>
        <v>184.5779</v>
      </c>
      <c r="F18" s="377">
        <f t="shared" si="0"/>
        <v>17719.4784</v>
      </c>
      <c r="G18" s="377">
        <f>F18/C8</f>
        <v>3936</v>
      </c>
      <c r="H18" s="68"/>
      <c r="I18" s="399"/>
      <c r="J18" s="68"/>
      <c r="K18" s="68"/>
    </row>
    <row r="19" spans="1:11" ht="39" x14ac:dyDescent="0.25">
      <c r="A19" s="378">
        <f t="shared" si="1"/>
        <v>9</v>
      </c>
      <c r="B19" s="81" t="s">
        <v>565</v>
      </c>
      <c r="C19" s="382" t="s">
        <v>254</v>
      </c>
      <c r="D19" s="380">
        <v>52</v>
      </c>
      <c r="E19" s="381">
        <f>8.5*C8</f>
        <v>38.266150000000003</v>
      </c>
      <c r="F19" s="377">
        <f t="shared" si="0"/>
        <v>1989.8398000000002</v>
      </c>
      <c r="G19" s="377">
        <f>F19/C8</f>
        <v>442.00000000000006</v>
      </c>
      <c r="H19" s="68"/>
      <c r="I19" s="399"/>
      <c r="J19" s="68"/>
      <c r="K19" s="68"/>
    </row>
    <row r="20" spans="1:11" ht="26.25" x14ac:dyDescent="0.25">
      <c r="A20" s="378">
        <f t="shared" si="1"/>
        <v>10</v>
      </c>
      <c r="B20" s="81" t="s">
        <v>566</v>
      </c>
      <c r="C20" s="382" t="s">
        <v>146</v>
      </c>
      <c r="D20" s="380">
        <v>2.5</v>
      </c>
      <c r="E20" s="381">
        <f>70*C8</f>
        <v>315.13299999999998</v>
      </c>
      <c r="F20" s="377">
        <f t="shared" si="0"/>
        <v>787.83249999999998</v>
      </c>
      <c r="G20" s="377">
        <f>F20/C8</f>
        <v>175</v>
      </c>
      <c r="H20" s="68"/>
      <c r="I20" s="399"/>
      <c r="J20" s="68"/>
      <c r="K20" s="68"/>
    </row>
    <row r="21" spans="1:11" x14ac:dyDescent="0.25">
      <c r="A21" s="378">
        <f t="shared" si="1"/>
        <v>11</v>
      </c>
      <c r="B21" s="81" t="s">
        <v>567</v>
      </c>
      <c r="C21" s="382" t="s">
        <v>43</v>
      </c>
      <c r="D21" s="380">
        <v>1</v>
      </c>
      <c r="E21" s="383">
        <f>600*C8</f>
        <v>2701.14</v>
      </c>
      <c r="F21" s="377">
        <f t="shared" si="0"/>
        <v>2701.14</v>
      </c>
      <c r="G21" s="377">
        <f>F21/C8</f>
        <v>600</v>
      </c>
      <c r="H21" s="68"/>
      <c r="I21" s="399"/>
      <c r="J21" s="68"/>
      <c r="K21" s="68"/>
    </row>
    <row r="22" spans="1:11" x14ac:dyDescent="0.25">
      <c r="A22" s="384">
        <f t="shared" si="1"/>
        <v>12</v>
      </c>
      <c r="B22" s="360" t="s">
        <v>568</v>
      </c>
      <c r="C22" s="379" t="s">
        <v>370</v>
      </c>
      <c r="D22" s="385">
        <v>29</v>
      </c>
      <c r="E22" s="386">
        <f>5*C8</f>
        <v>22.509499999999999</v>
      </c>
      <c r="F22" s="387">
        <f t="shared" si="0"/>
        <v>652.77549999999997</v>
      </c>
      <c r="G22" s="377">
        <f>F22/C8</f>
        <v>145</v>
      </c>
      <c r="H22" s="68"/>
      <c r="I22" s="399"/>
      <c r="J22" s="68"/>
      <c r="K22" s="68"/>
    </row>
    <row r="23" spans="1:11" x14ac:dyDescent="0.25">
      <c r="A23" s="388"/>
      <c r="B23" s="389" t="s">
        <v>382</v>
      </c>
      <c r="C23" s="266"/>
      <c r="D23" s="390"/>
      <c r="E23" s="390"/>
      <c r="F23" s="391">
        <f>SUM(F11:F22)</f>
        <v>46505.347304000003</v>
      </c>
      <c r="G23" s="391">
        <f>SUM(G11:G22)</f>
        <v>10330.16</v>
      </c>
      <c r="H23" s="68"/>
      <c r="I23" s="400">
        <f>F23/C8</f>
        <v>10330.16</v>
      </c>
      <c r="J23" s="68"/>
      <c r="K23" s="68"/>
    </row>
    <row r="24" spans="1:11" x14ac:dyDescent="0.25">
      <c r="A24" s="392"/>
      <c r="B24" s="393"/>
      <c r="C24" s="394"/>
      <c r="D24" s="395"/>
      <c r="E24" s="395"/>
      <c r="F24" s="396"/>
      <c r="G24" s="396"/>
      <c r="H24" s="68"/>
      <c r="I24" s="68"/>
      <c r="J24" s="68"/>
      <c r="K24" s="68"/>
    </row>
    <row r="25" spans="1:11" ht="15.75" thickBot="1" x14ac:dyDescent="0.3">
      <c r="A25" s="392"/>
      <c r="B25" s="393"/>
      <c r="C25" s="394"/>
      <c r="D25" s="395"/>
      <c r="E25" s="395"/>
      <c r="F25" s="396"/>
      <c r="G25" s="396"/>
      <c r="H25" s="68"/>
      <c r="I25" s="68"/>
      <c r="J25" s="68"/>
      <c r="K25" s="68"/>
    </row>
    <row r="26" spans="1:11" ht="27" thickBot="1" x14ac:dyDescent="0.3">
      <c r="A26" s="614" t="s">
        <v>0</v>
      </c>
      <c r="B26" s="614" t="s">
        <v>198</v>
      </c>
      <c r="C26" s="614" t="s">
        <v>37</v>
      </c>
      <c r="D26" s="614" t="s">
        <v>199</v>
      </c>
      <c r="E26" s="614" t="s">
        <v>200</v>
      </c>
      <c r="F26" s="317" t="s">
        <v>681</v>
      </c>
      <c r="G26" s="614" t="s">
        <v>201</v>
      </c>
      <c r="H26" s="68"/>
      <c r="I26" s="68"/>
      <c r="J26" s="68"/>
      <c r="K26" s="68"/>
    </row>
    <row r="27" spans="1:11" x14ac:dyDescent="0.25">
      <c r="A27" s="615" t="s">
        <v>569</v>
      </c>
      <c r="B27" s="616" t="s">
        <v>570</v>
      </c>
      <c r="C27" s="266"/>
      <c r="D27" s="390"/>
      <c r="E27" s="390"/>
      <c r="F27" s="540"/>
      <c r="G27" s="540"/>
    </row>
    <row r="28" spans="1:11" x14ac:dyDescent="0.25">
      <c r="A28" s="225" t="s">
        <v>571</v>
      </c>
      <c r="B28" s="226" t="s">
        <v>557</v>
      </c>
      <c r="C28" s="266" t="s">
        <v>146</v>
      </c>
      <c r="D28" s="617">
        <v>19.600000000000001</v>
      </c>
      <c r="E28" s="390">
        <f>7.8*C8</f>
        <v>35.114820000000002</v>
      </c>
      <c r="F28" s="540">
        <f t="shared" ref="F28:F35" si="2">D28*E28</f>
        <v>688.25047200000006</v>
      </c>
      <c r="G28" s="540">
        <f>F28/C8</f>
        <v>152.88000000000002</v>
      </c>
    </row>
    <row r="29" spans="1:11" x14ac:dyDescent="0.25">
      <c r="A29" s="225" t="s">
        <v>572</v>
      </c>
      <c r="B29" s="389" t="s">
        <v>558</v>
      </c>
      <c r="C29" s="266" t="s">
        <v>162</v>
      </c>
      <c r="D29" s="617">
        <v>35.299999999999997</v>
      </c>
      <c r="E29" s="390">
        <f>1.45*C8</f>
        <v>6.527755</v>
      </c>
      <c r="F29" s="540">
        <f t="shared" si="2"/>
        <v>230.42975149999998</v>
      </c>
      <c r="G29" s="540">
        <f>F29/C8</f>
        <v>51.184999999999995</v>
      </c>
    </row>
    <row r="30" spans="1:11" x14ac:dyDescent="0.25">
      <c r="A30" s="225" t="s">
        <v>573</v>
      </c>
      <c r="B30" s="389" t="s">
        <v>559</v>
      </c>
      <c r="C30" s="266" t="s">
        <v>162</v>
      </c>
      <c r="D30" s="617">
        <v>35.299999999999997</v>
      </c>
      <c r="E30" s="618">
        <f>1.5*C8</f>
        <v>6.7528500000000005</v>
      </c>
      <c r="F30" s="540">
        <f t="shared" si="2"/>
        <v>238.37560500000001</v>
      </c>
      <c r="G30" s="540">
        <f>F30/C8</f>
        <v>52.95</v>
      </c>
    </row>
    <row r="31" spans="1:11" x14ac:dyDescent="0.25">
      <c r="A31" s="225" t="s">
        <v>574</v>
      </c>
      <c r="B31" s="389" t="s">
        <v>575</v>
      </c>
      <c r="C31" s="266" t="s">
        <v>146</v>
      </c>
      <c r="D31" s="617">
        <v>9.8000000000000007</v>
      </c>
      <c r="E31" s="390">
        <f>7.5*C8</f>
        <v>33.764249999999997</v>
      </c>
      <c r="F31" s="540">
        <f t="shared" si="2"/>
        <v>330.88965000000002</v>
      </c>
      <c r="G31" s="540">
        <f>F31/C8</f>
        <v>73.5</v>
      </c>
    </row>
    <row r="32" spans="1:11" ht="25.5" x14ac:dyDescent="0.25">
      <c r="A32" s="225" t="s">
        <v>576</v>
      </c>
      <c r="B32" s="226" t="s">
        <v>577</v>
      </c>
      <c r="C32" s="266" t="s">
        <v>146</v>
      </c>
      <c r="D32" s="617">
        <v>9.8000000000000007</v>
      </c>
      <c r="E32" s="390">
        <f>50*C8</f>
        <v>225.095</v>
      </c>
      <c r="F32" s="540">
        <f t="shared" si="2"/>
        <v>2205.931</v>
      </c>
      <c r="G32" s="540">
        <f>F32/C8</f>
        <v>490</v>
      </c>
    </row>
    <row r="33" spans="1:9" x14ac:dyDescent="0.25">
      <c r="A33" s="225" t="s">
        <v>578</v>
      </c>
      <c r="B33" s="389" t="s">
        <v>30</v>
      </c>
      <c r="C33" s="266" t="s">
        <v>153</v>
      </c>
      <c r="D33" s="617">
        <v>98.3</v>
      </c>
      <c r="E33" s="545">
        <f>30*C8</f>
        <v>135.05699999999999</v>
      </c>
      <c r="F33" s="540">
        <f t="shared" si="2"/>
        <v>13276.103099999998</v>
      </c>
      <c r="G33" s="540">
        <f>F33/C8</f>
        <v>2948.9999999999995</v>
      </c>
    </row>
    <row r="34" spans="1:9" ht="25.5" x14ac:dyDescent="0.25">
      <c r="A34" s="225" t="s">
        <v>579</v>
      </c>
      <c r="B34" s="226" t="s">
        <v>580</v>
      </c>
      <c r="C34" s="266" t="s">
        <v>254</v>
      </c>
      <c r="D34" s="617">
        <v>49</v>
      </c>
      <c r="E34" s="545">
        <f>15.26*C8</f>
        <v>68.698993999999999</v>
      </c>
      <c r="F34" s="540">
        <f t="shared" si="2"/>
        <v>3366.2507059999998</v>
      </c>
      <c r="G34" s="540">
        <f>F34/C8</f>
        <v>747.74</v>
      </c>
    </row>
    <row r="35" spans="1:9" x14ac:dyDescent="0.25">
      <c r="A35" s="225" t="s">
        <v>581</v>
      </c>
      <c r="B35" s="226" t="s">
        <v>242</v>
      </c>
      <c r="C35" s="266" t="s">
        <v>243</v>
      </c>
      <c r="D35" s="617">
        <v>102.8</v>
      </c>
      <c r="E35" s="545">
        <f>1*C8</f>
        <v>4.5019</v>
      </c>
      <c r="F35" s="540">
        <f t="shared" si="2"/>
        <v>462.79532</v>
      </c>
      <c r="G35" s="540">
        <f>F35/C8</f>
        <v>102.8</v>
      </c>
    </row>
    <row r="36" spans="1:9" x14ac:dyDescent="0.25">
      <c r="A36" s="388"/>
      <c r="B36" s="389" t="s">
        <v>382</v>
      </c>
      <c r="C36" s="266"/>
      <c r="D36" s="390"/>
      <c r="E36" s="390"/>
      <c r="F36" s="391">
        <f>SUM(F28:F35)</f>
        <v>20799.025604499999</v>
      </c>
      <c r="G36" s="540"/>
    </row>
    <row r="37" spans="1:9" x14ac:dyDescent="0.25">
      <c r="A37" s="762" t="s">
        <v>777</v>
      </c>
      <c r="B37" s="762"/>
      <c r="C37" s="762"/>
      <c r="D37" s="762"/>
      <c r="E37" s="762"/>
      <c r="F37" s="762"/>
      <c r="G37" s="762"/>
      <c r="I37">
        <f>F39/C8</f>
        <v>4310</v>
      </c>
    </row>
    <row r="38" spans="1:9" ht="38.25" x14ac:dyDescent="0.25">
      <c r="A38" s="619" t="s">
        <v>778</v>
      </c>
      <c r="B38" s="620" t="s">
        <v>119</v>
      </c>
      <c r="C38" s="621" t="s">
        <v>47</v>
      </c>
      <c r="D38" s="622">
        <v>1</v>
      </c>
      <c r="E38" s="623">
        <f>4310*Dotari!C5</f>
        <v>19403.188999999998</v>
      </c>
      <c r="F38" s="623">
        <f>D38*E38</f>
        <v>19403.188999999998</v>
      </c>
      <c r="G38" s="623">
        <f>F38/Dotari!C5</f>
        <v>4310</v>
      </c>
    </row>
    <row r="39" spans="1:9" x14ac:dyDescent="0.25">
      <c r="A39" s="225"/>
      <c r="B39" s="389" t="s">
        <v>382</v>
      </c>
      <c r="C39" s="227"/>
      <c r="D39" s="228"/>
      <c r="E39" s="229"/>
      <c r="F39" s="391">
        <f>SUM(F38)</f>
        <v>19403.188999999998</v>
      </c>
      <c r="G39" s="391">
        <f>SUM(G28:G38)</f>
        <v>8930.0550000000003</v>
      </c>
    </row>
    <row r="40" spans="1:9" x14ac:dyDescent="0.25">
      <c r="A40" s="368"/>
      <c r="B40" s="136" t="s">
        <v>554</v>
      </c>
      <c r="C40" s="250"/>
      <c r="D40" s="369"/>
    </row>
    <row r="41" spans="1:9" x14ac:dyDescent="0.25">
      <c r="A41" s="368"/>
      <c r="B41" s="137" t="s">
        <v>195</v>
      </c>
      <c r="C41" s="250"/>
      <c r="D41" s="369"/>
    </row>
  </sheetData>
  <mergeCells count="2">
    <mergeCell ref="A4:D4"/>
    <mergeCell ref="A37:G37"/>
  </mergeCells>
  <pageMargins left="0.7" right="0.7" top="0.75" bottom="0.75" header="0.3" footer="0.3"/>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workbookViewId="0">
      <selection activeCell="F32" sqref="A2:F32"/>
    </sheetView>
  </sheetViews>
  <sheetFormatPr defaultRowHeight="15" x14ac:dyDescent="0.25"/>
  <cols>
    <col min="1" max="1" width="6.42578125" customWidth="1"/>
    <col min="2" max="2" width="45.28515625" customWidth="1"/>
    <col min="3" max="3" width="9.42578125" customWidth="1"/>
    <col min="4" max="4" width="14.7109375" customWidth="1"/>
    <col min="6" max="6" width="12.28515625" customWidth="1"/>
    <col min="7" max="7" width="8.42578125" hidden="1" customWidth="1"/>
    <col min="257" max="257" width="6.42578125" customWidth="1"/>
    <col min="258" max="258" width="45.28515625" customWidth="1"/>
    <col min="259" max="259" width="7.85546875" customWidth="1"/>
    <col min="260" max="260" width="9" customWidth="1"/>
    <col min="262" max="262" width="8.42578125" customWidth="1"/>
    <col min="513" max="513" width="6.42578125" customWidth="1"/>
    <col min="514" max="514" width="45.28515625" customWidth="1"/>
    <col min="515" max="515" width="7.85546875" customWidth="1"/>
    <col min="516" max="516" width="9" customWidth="1"/>
    <col min="518" max="518" width="8.42578125" customWidth="1"/>
    <col min="769" max="769" width="6.42578125" customWidth="1"/>
    <col min="770" max="770" width="45.28515625" customWidth="1"/>
    <col min="771" max="771" width="7.85546875" customWidth="1"/>
    <col min="772" max="772" width="9" customWidth="1"/>
    <col min="774" max="774" width="8.42578125" customWidth="1"/>
    <col min="1025" max="1025" width="6.42578125" customWidth="1"/>
    <col min="1026" max="1026" width="45.28515625" customWidth="1"/>
    <col min="1027" max="1027" width="7.85546875" customWidth="1"/>
    <col min="1028" max="1028" width="9" customWidth="1"/>
    <col min="1030" max="1030" width="8.42578125" customWidth="1"/>
    <col min="1281" max="1281" width="6.42578125" customWidth="1"/>
    <col min="1282" max="1282" width="45.28515625" customWidth="1"/>
    <col min="1283" max="1283" width="7.85546875" customWidth="1"/>
    <col min="1284" max="1284" width="9" customWidth="1"/>
    <col min="1286" max="1286" width="8.42578125" customWidth="1"/>
    <col min="1537" max="1537" width="6.42578125" customWidth="1"/>
    <col min="1538" max="1538" width="45.28515625" customWidth="1"/>
    <col min="1539" max="1539" width="7.85546875" customWidth="1"/>
    <col min="1540" max="1540" width="9" customWidth="1"/>
    <col min="1542" max="1542" width="8.42578125" customWidth="1"/>
    <col min="1793" max="1793" width="6.42578125" customWidth="1"/>
    <col min="1794" max="1794" width="45.28515625" customWidth="1"/>
    <col min="1795" max="1795" width="7.85546875" customWidth="1"/>
    <col min="1796" max="1796" width="9" customWidth="1"/>
    <col min="1798" max="1798" width="8.42578125" customWidth="1"/>
    <col min="2049" max="2049" width="6.42578125" customWidth="1"/>
    <col min="2050" max="2050" width="45.28515625" customWidth="1"/>
    <col min="2051" max="2051" width="7.85546875" customWidth="1"/>
    <col min="2052" max="2052" width="9" customWidth="1"/>
    <col min="2054" max="2054" width="8.42578125" customWidth="1"/>
    <col min="2305" max="2305" width="6.42578125" customWidth="1"/>
    <col min="2306" max="2306" width="45.28515625" customWidth="1"/>
    <col min="2307" max="2307" width="7.85546875" customWidth="1"/>
    <col min="2308" max="2308" width="9" customWidth="1"/>
    <col min="2310" max="2310" width="8.42578125" customWidth="1"/>
    <col min="2561" max="2561" width="6.42578125" customWidth="1"/>
    <col min="2562" max="2562" width="45.28515625" customWidth="1"/>
    <col min="2563" max="2563" width="7.85546875" customWidth="1"/>
    <col min="2564" max="2564" width="9" customWidth="1"/>
    <col min="2566" max="2566" width="8.42578125" customWidth="1"/>
    <col min="2817" max="2817" width="6.42578125" customWidth="1"/>
    <col min="2818" max="2818" width="45.28515625" customWidth="1"/>
    <col min="2819" max="2819" width="7.85546875" customWidth="1"/>
    <col min="2820" max="2820" width="9" customWidth="1"/>
    <col min="2822" max="2822" width="8.42578125" customWidth="1"/>
    <col min="3073" max="3073" width="6.42578125" customWidth="1"/>
    <col min="3074" max="3074" width="45.28515625" customWidth="1"/>
    <col min="3075" max="3075" width="7.85546875" customWidth="1"/>
    <col min="3076" max="3076" width="9" customWidth="1"/>
    <col min="3078" max="3078" width="8.42578125" customWidth="1"/>
    <col min="3329" max="3329" width="6.42578125" customWidth="1"/>
    <col min="3330" max="3330" width="45.28515625" customWidth="1"/>
    <col min="3331" max="3331" width="7.85546875" customWidth="1"/>
    <col min="3332" max="3332" width="9" customWidth="1"/>
    <col min="3334" max="3334" width="8.42578125" customWidth="1"/>
    <col min="3585" max="3585" width="6.42578125" customWidth="1"/>
    <col min="3586" max="3586" width="45.28515625" customWidth="1"/>
    <col min="3587" max="3587" width="7.85546875" customWidth="1"/>
    <col min="3588" max="3588" width="9" customWidth="1"/>
    <col min="3590" max="3590" width="8.42578125" customWidth="1"/>
    <col min="3841" max="3841" width="6.42578125" customWidth="1"/>
    <col min="3842" max="3842" width="45.28515625" customWidth="1"/>
    <col min="3843" max="3843" width="7.85546875" customWidth="1"/>
    <col min="3844" max="3844" width="9" customWidth="1"/>
    <col min="3846" max="3846" width="8.42578125" customWidth="1"/>
    <col min="4097" max="4097" width="6.42578125" customWidth="1"/>
    <col min="4098" max="4098" width="45.28515625" customWidth="1"/>
    <col min="4099" max="4099" width="7.85546875" customWidth="1"/>
    <col min="4100" max="4100" width="9" customWidth="1"/>
    <col min="4102" max="4102" width="8.42578125" customWidth="1"/>
    <col min="4353" max="4353" width="6.42578125" customWidth="1"/>
    <col min="4354" max="4354" width="45.28515625" customWidth="1"/>
    <col min="4355" max="4355" width="7.85546875" customWidth="1"/>
    <col min="4356" max="4356" width="9" customWidth="1"/>
    <col min="4358" max="4358" width="8.42578125" customWidth="1"/>
    <col min="4609" max="4609" width="6.42578125" customWidth="1"/>
    <col min="4610" max="4610" width="45.28515625" customWidth="1"/>
    <col min="4611" max="4611" width="7.85546875" customWidth="1"/>
    <col min="4612" max="4612" width="9" customWidth="1"/>
    <col min="4614" max="4614" width="8.42578125" customWidth="1"/>
    <col min="4865" max="4865" width="6.42578125" customWidth="1"/>
    <col min="4866" max="4866" width="45.28515625" customWidth="1"/>
    <col min="4867" max="4867" width="7.85546875" customWidth="1"/>
    <col min="4868" max="4868" width="9" customWidth="1"/>
    <col min="4870" max="4870" width="8.42578125" customWidth="1"/>
    <col min="5121" max="5121" width="6.42578125" customWidth="1"/>
    <col min="5122" max="5122" width="45.28515625" customWidth="1"/>
    <col min="5123" max="5123" width="7.85546875" customWidth="1"/>
    <col min="5124" max="5124" width="9" customWidth="1"/>
    <col min="5126" max="5126" width="8.42578125" customWidth="1"/>
    <col min="5377" max="5377" width="6.42578125" customWidth="1"/>
    <col min="5378" max="5378" width="45.28515625" customWidth="1"/>
    <col min="5379" max="5379" width="7.85546875" customWidth="1"/>
    <col min="5380" max="5380" width="9" customWidth="1"/>
    <col min="5382" max="5382" width="8.42578125" customWidth="1"/>
    <col min="5633" max="5633" width="6.42578125" customWidth="1"/>
    <col min="5634" max="5634" width="45.28515625" customWidth="1"/>
    <col min="5635" max="5635" width="7.85546875" customWidth="1"/>
    <col min="5636" max="5636" width="9" customWidth="1"/>
    <col min="5638" max="5638" width="8.42578125" customWidth="1"/>
    <col min="5889" max="5889" width="6.42578125" customWidth="1"/>
    <col min="5890" max="5890" width="45.28515625" customWidth="1"/>
    <col min="5891" max="5891" width="7.85546875" customWidth="1"/>
    <col min="5892" max="5892" width="9" customWidth="1"/>
    <col min="5894" max="5894" width="8.42578125" customWidth="1"/>
    <col min="6145" max="6145" width="6.42578125" customWidth="1"/>
    <col min="6146" max="6146" width="45.28515625" customWidth="1"/>
    <col min="6147" max="6147" width="7.85546875" customWidth="1"/>
    <col min="6148" max="6148" width="9" customWidth="1"/>
    <col min="6150" max="6150" width="8.42578125" customWidth="1"/>
    <col min="6401" max="6401" width="6.42578125" customWidth="1"/>
    <col min="6402" max="6402" width="45.28515625" customWidth="1"/>
    <col min="6403" max="6403" width="7.85546875" customWidth="1"/>
    <col min="6404" max="6404" width="9" customWidth="1"/>
    <col min="6406" max="6406" width="8.42578125" customWidth="1"/>
    <col min="6657" max="6657" width="6.42578125" customWidth="1"/>
    <col min="6658" max="6658" width="45.28515625" customWidth="1"/>
    <col min="6659" max="6659" width="7.85546875" customWidth="1"/>
    <col min="6660" max="6660" width="9" customWidth="1"/>
    <col min="6662" max="6662" width="8.42578125" customWidth="1"/>
    <col min="6913" max="6913" width="6.42578125" customWidth="1"/>
    <col min="6914" max="6914" width="45.28515625" customWidth="1"/>
    <col min="6915" max="6915" width="7.85546875" customWidth="1"/>
    <col min="6916" max="6916" width="9" customWidth="1"/>
    <col min="6918" max="6918" width="8.42578125" customWidth="1"/>
    <col min="7169" max="7169" width="6.42578125" customWidth="1"/>
    <col min="7170" max="7170" width="45.28515625" customWidth="1"/>
    <col min="7171" max="7171" width="7.85546875" customWidth="1"/>
    <col min="7172" max="7172" width="9" customWidth="1"/>
    <col min="7174" max="7174" width="8.42578125" customWidth="1"/>
    <col min="7425" max="7425" width="6.42578125" customWidth="1"/>
    <col min="7426" max="7426" width="45.28515625" customWidth="1"/>
    <col min="7427" max="7427" width="7.85546875" customWidth="1"/>
    <col min="7428" max="7428" width="9" customWidth="1"/>
    <col min="7430" max="7430" width="8.42578125" customWidth="1"/>
    <col min="7681" max="7681" width="6.42578125" customWidth="1"/>
    <col min="7682" max="7682" width="45.28515625" customWidth="1"/>
    <col min="7683" max="7683" width="7.85546875" customWidth="1"/>
    <col min="7684" max="7684" width="9" customWidth="1"/>
    <col min="7686" max="7686" width="8.42578125" customWidth="1"/>
    <col min="7937" max="7937" width="6.42578125" customWidth="1"/>
    <col min="7938" max="7938" width="45.28515625" customWidth="1"/>
    <col min="7939" max="7939" width="7.85546875" customWidth="1"/>
    <col min="7940" max="7940" width="9" customWidth="1"/>
    <col min="7942" max="7942" width="8.42578125" customWidth="1"/>
    <col min="8193" max="8193" width="6.42578125" customWidth="1"/>
    <col min="8194" max="8194" width="45.28515625" customWidth="1"/>
    <col min="8195" max="8195" width="7.85546875" customWidth="1"/>
    <col min="8196" max="8196" width="9" customWidth="1"/>
    <col min="8198" max="8198" width="8.42578125" customWidth="1"/>
    <col min="8449" max="8449" width="6.42578125" customWidth="1"/>
    <col min="8450" max="8450" width="45.28515625" customWidth="1"/>
    <col min="8451" max="8451" width="7.85546875" customWidth="1"/>
    <col min="8452" max="8452" width="9" customWidth="1"/>
    <col min="8454" max="8454" width="8.42578125" customWidth="1"/>
    <col min="8705" max="8705" width="6.42578125" customWidth="1"/>
    <col min="8706" max="8706" width="45.28515625" customWidth="1"/>
    <col min="8707" max="8707" width="7.85546875" customWidth="1"/>
    <col min="8708" max="8708" width="9" customWidth="1"/>
    <col min="8710" max="8710" width="8.42578125" customWidth="1"/>
    <col min="8961" max="8961" width="6.42578125" customWidth="1"/>
    <col min="8962" max="8962" width="45.28515625" customWidth="1"/>
    <col min="8963" max="8963" width="7.85546875" customWidth="1"/>
    <col min="8964" max="8964" width="9" customWidth="1"/>
    <col min="8966" max="8966" width="8.42578125" customWidth="1"/>
    <col min="9217" max="9217" width="6.42578125" customWidth="1"/>
    <col min="9218" max="9218" width="45.28515625" customWidth="1"/>
    <col min="9219" max="9219" width="7.85546875" customWidth="1"/>
    <col min="9220" max="9220" width="9" customWidth="1"/>
    <col min="9222" max="9222" width="8.42578125" customWidth="1"/>
    <col min="9473" max="9473" width="6.42578125" customWidth="1"/>
    <col min="9474" max="9474" width="45.28515625" customWidth="1"/>
    <col min="9475" max="9475" width="7.85546875" customWidth="1"/>
    <col min="9476" max="9476" width="9" customWidth="1"/>
    <col min="9478" max="9478" width="8.42578125" customWidth="1"/>
    <col min="9729" max="9729" width="6.42578125" customWidth="1"/>
    <col min="9730" max="9730" width="45.28515625" customWidth="1"/>
    <col min="9731" max="9731" width="7.85546875" customWidth="1"/>
    <col min="9732" max="9732" width="9" customWidth="1"/>
    <col min="9734" max="9734" width="8.42578125" customWidth="1"/>
    <col min="9985" max="9985" width="6.42578125" customWidth="1"/>
    <col min="9986" max="9986" width="45.28515625" customWidth="1"/>
    <col min="9987" max="9987" width="7.85546875" customWidth="1"/>
    <col min="9988" max="9988" width="9" customWidth="1"/>
    <col min="9990" max="9990" width="8.42578125" customWidth="1"/>
    <col min="10241" max="10241" width="6.42578125" customWidth="1"/>
    <col min="10242" max="10242" width="45.28515625" customWidth="1"/>
    <col min="10243" max="10243" width="7.85546875" customWidth="1"/>
    <col min="10244" max="10244" width="9" customWidth="1"/>
    <col min="10246" max="10246" width="8.42578125" customWidth="1"/>
    <col min="10497" max="10497" width="6.42578125" customWidth="1"/>
    <col min="10498" max="10498" width="45.28515625" customWidth="1"/>
    <col min="10499" max="10499" width="7.85546875" customWidth="1"/>
    <col min="10500" max="10500" width="9" customWidth="1"/>
    <col min="10502" max="10502" width="8.42578125" customWidth="1"/>
    <col min="10753" max="10753" width="6.42578125" customWidth="1"/>
    <col min="10754" max="10754" width="45.28515625" customWidth="1"/>
    <col min="10755" max="10755" width="7.85546875" customWidth="1"/>
    <col min="10756" max="10756" width="9" customWidth="1"/>
    <col min="10758" max="10758" width="8.42578125" customWidth="1"/>
    <col min="11009" max="11009" width="6.42578125" customWidth="1"/>
    <col min="11010" max="11010" width="45.28515625" customWidth="1"/>
    <col min="11011" max="11011" width="7.85546875" customWidth="1"/>
    <col min="11012" max="11012" width="9" customWidth="1"/>
    <col min="11014" max="11014" width="8.42578125" customWidth="1"/>
    <col min="11265" max="11265" width="6.42578125" customWidth="1"/>
    <col min="11266" max="11266" width="45.28515625" customWidth="1"/>
    <col min="11267" max="11267" width="7.85546875" customWidth="1"/>
    <col min="11268" max="11268" width="9" customWidth="1"/>
    <col min="11270" max="11270" width="8.42578125" customWidth="1"/>
    <col min="11521" max="11521" width="6.42578125" customWidth="1"/>
    <col min="11522" max="11522" width="45.28515625" customWidth="1"/>
    <col min="11523" max="11523" width="7.85546875" customWidth="1"/>
    <col min="11524" max="11524" width="9" customWidth="1"/>
    <col min="11526" max="11526" width="8.42578125" customWidth="1"/>
    <col min="11777" max="11777" width="6.42578125" customWidth="1"/>
    <col min="11778" max="11778" width="45.28515625" customWidth="1"/>
    <col min="11779" max="11779" width="7.85546875" customWidth="1"/>
    <col min="11780" max="11780" width="9" customWidth="1"/>
    <col min="11782" max="11782" width="8.42578125" customWidth="1"/>
    <col min="12033" max="12033" width="6.42578125" customWidth="1"/>
    <col min="12034" max="12034" width="45.28515625" customWidth="1"/>
    <col min="12035" max="12035" width="7.85546875" customWidth="1"/>
    <col min="12036" max="12036" width="9" customWidth="1"/>
    <col min="12038" max="12038" width="8.42578125" customWidth="1"/>
    <col min="12289" max="12289" width="6.42578125" customWidth="1"/>
    <col min="12290" max="12290" width="45.28515625" customWidth="1"/>
    <col min="12291" max="12291" width="7.85546875" customWidth="1"/>
    <col min="12292" max="12292" width="9" customWidth="1"/>
    <col min="12294" max="12294" width="8.42578125" customWidth="1"/>
    <col min="12545" max="12545" width="6.42578125" customWidth="1"/>
    <col min="12546" max="12546" width="45.28515625" customWidth="1"/>
    <col min="12547" max="12547" width="7.85546875" customWidth="1"/>
    <col min="12548" max="12548" width="9" customWidth="1"/>
    <col min="12550" max="12550" width="8.42578125" customWidth="1"/>
    <col min="12801" max="12801" width="6.42578125" customWidth="1"/>
    <col min="12802" max="12802" width="45.28515625" customWidth="1"/>
    <col min="12803" max="12803" width="7.85546875" customWidth="1"/>
    <col min="12804" max="12804" width="9" customWidth="1"/>
    <col min="12806" max="12806" width="8.42578125" customWidth="1"/>
    <col min="13057" max="13057" width="6.42578125" customWidth="1"/>
    <col min="13058" max="13058" width="45.28515625" customWidth="1"/>
    <col min="13059" max="13059" width="7.85546875" customWidth="1"/>
    <col min="13060" max="13060" width="9" customWidth="1"/>
    <col min="13062" max="13062" width="8.42578125" customWidth="1"/>
    <col min="13313" max="13313" width="6.42578125" customWidth="1"/>
    <col min="13314" max="13314" width="45.28515625" customWidth="1"/>
    <col min="13315" max="13315" width="7.85546875" customWidth="1"/>
    <col min="13316" max="13316" width="9" customWidth="1"/>
    <col min="13318" max="13318" width="8.42578125" customWidth="1"/>
    <col min="13569" max="13569" width="6.42578125" customWidth="1"/>
    <col min="13570" max="13570" width="45.28515625" customWidth="1"/>
    <col min="13571" max="13571" width="7.85546875" customWidth="1"/>
    <col min="13572" max="13572" width="9" customWidth="1"/>
    <col min="13574" max="13574" width="8.42578125" customWidth="1"/>
    <col min="13825" max="13825" width="6.42578125" customWidth="1"/>
    <col min="13826" max="13826" width="45.28515625" customWidth="1"/>
    <col min="13827" max="13827" width="7.85546875" customWidth="1"/>
    <col min="13828" max="13828" width="9" customWidth="1"/>
    <col min="13830" max="13830" width="8.42578125" customWidth="1"/>
    <col min="14081" max="14081" width="6.42578125" customWidth="1"/>
    <col min="14082" max="14082" width="45.28515625" customWidth="1"/>
    <col min="14083" max="14083" width="7.85546875" customWidth="1"/>
    <col min="14084" max="14084" width="9" customWidth="1"/>
    <col min="14086" max="14086" width="8.42578125" customWidth="1"/>
    <col min="14337" max="14337" width="6.42578125" customWidth="1"/>
    <col min="14338" max="14338" width="45.28515625" customWidth="1"/>
    <col min="14339" max="14339" width="7.85546875" customWidth="1"/>
    <col min="14340" max="14340" width="9" customWidth="1"/>
    <col min="14342" max="14342" width="8.42578125" customWidth="1"/>
    <col min="14593" max="14593" width="6.42578125" customWidth="1"/>
    <col min="14594" max="14594" width="45.28515625" customWidth="1"/>
    <col min="14595" max="14595" width="7.85546875" customWidth="1"/>
    <col min="14596" max="14596" width="9" customWidth="1"/>
    <col min="14598" max="14598" width="8.42578125" customWidth="1"/>
    <col min="14849" max="14849" width="6.42578125" customWidth="1"/>
    <col min="14850" max="14850" width="45.28515625" customWidth="1"/>
    <col min="14851" max="14851" width="7.85546875" customWidth="1"/>
    <col min="14852" max="14852" width="9" customWidth="1"/>
    <col min="14854" max="14854" width="8.42578125" customWidth="1"/>
    <col min="15105" max="15105" width="6.42578125" customWidth="1"/>
    <col min="15106" max="15106" width="45.28515625" customWidth="1"/>
    <col min="15107" max="15107" width="7.85546875" customWidth="1"/>
    <col min="15108" max="15108" width="9" customWidth="1"/>
    <col min="15110" max="15110" width="8.42578125" customWidth="1"/>
    <col min="15361" max="15361" width="6.42578125" customWidth="1"/>
    <col min="15362" max="15362" width="45.28515625" customWidth="1"/>
    <col min="15363" max="15363" width="7.85546875" customWidth="1"/>
    <col min="15364" max="15364" width="9" customWidth="1"/>
    <col min="15366" max="15366" width="8.42578125" customWidth="1"/>
    <col min="15617" max="15617" width="6.42578125" customWidth="1"/>
    <col min="15618" max="15618" width="45.28515625" customWidth="1"/>
    <col min="15619" max="15619" width="7.85546875" customWidth="1"/>
    <col min="15620" max="15620" width="9" customWidth="1"/>
    <col min="15622" max="15622" width="8.42578125" customWidth="1"/>
    <col min="15873" max="15873" width="6.42578125" customWidth="1"/>
    <col min="15874" max="15874" width="45.28515625" customWidth="1"/>
    <col min="15875" max="15875" width="7.85546875" customWidth="1"/>
    <col min="15876" max="15876" width="9" customWidth="1"/>
    <col min="15878" max="15878" width="8.42578125" customWidth="1"/>
    <col min="16129" max="16129" width="6.42578125" customWidth="1"/>
    <col min="16130" max="16130" width="45.28515625" customWidth="1"/>
    <col min="16131" max="16131" width="7.85546875" customWidth="1"/>
    <col min="16132" max="16132" width="9" customWidth="1"/>
    <col min="16134" max="16134" width="8.42578125" customWidth="1"/>
  </cols>
  <sheetData>
    <row r="1" spans="1:7" x14ac:dyDescent="0.25">
      <c r="B1" s="68"/>
    </row>
    <row r="2" spans="1:7" ht="33.75" customHeight="1" x14ac:dyDescent="0.25">
      <c r="B2" s="140" t="s">
        <v>248</v>
      </c>
      <c r="C2" s="140"/>
      <c r="D2" s="140"/>
      <c r="E2" s="140"/>
    </row>
    <row r="3" spans="1:7" x14ac:dyDescent="0.25">
      <c r="B3" s="140" t="s">
        <v>29</v>
      </c>
      <c r="C3" s="140"/>
      <c r="D3" s="140"/>
      <c r="E3" s="140"/>
    </row>
    <row r="4" spans="1:7" ht="15.75" x14ac:dyDescent="0.25">
      <c r="A4" s="760" t="s">
        <v>520</v>
      </c>
      <c r="B4" s="760"/>
      <c r="C4" s="760"/>
      <c r="D4" s="760"/>
    </row>
    <row r="5" spans="1:7" x14ac:dyDescent="0.25">
      <c r="B5" s="345" t="s">
        <v>582</v>
      </c>
      <c r="C5" s="345"/>
      <c r="D5" s="345"/>
    </row>
    <row r="6" spans="1:7" ht="15.75" thickBot="1" x14ac:dyDescent="0.3"/>
    <row r="7" spans="1:7" ht="16.5" hidden="1" thickBot="1" x14ac:dyDescent="0.3">
      <c r="A7" s="546"/>
      <c r="B7" s="547" t="s">
        <v>11</v>
      </c>
      <c r="C7" s="10">
        <v>4.5019</v>
      </c>
      <c r="D7" s="508" t="s">
        <v>10</v>
      </c>
      <c r="E7" s="508"/>
      <c r="F7" s="509" t="s">
        <v>671</v>
      </c>
      <c r="G7" s="509"/>
    </row>
    <row r="8" spans="1:7" ht="27" thickBot="1" x14ac:dyDescent="0.3">
      <c r="A8" s="78" t="s">
        <v>0</v>
      </c>
      <c r="B8" s="317" t="s">
        <v>198</v>
      </c>
      <c r="C8" s="317" t="s">
        <v>37</v>
      </c>
      <c r="D8" s="317" t="s">
        <v>199</v>
      </c>
      <c r="E8" s="317" t="s">
        <v>200</v>
      </c>
      <c r="F8" s="317" t="s">
        <v>682</v>
      </c>
      <c r="G8" s="317" t="s">
        <v>201</v>
      </c>
    </row>
    <row r="9" spans="1:7" x14ac:dyDescent="0.25">
      <c r="A9" s="401">
        <v>2.1</v>
      </c>
      <c r="B9" s="402" t="s">
        <v>583</v>
      </c>
      <c r="C9" s="32"/>
      <c r="D9" s="394"/>
      <c r="E9" s="394"/>
      <c r="F9" s="394"/>
      <c r="G9" s="394"/>
    </row>
    <row r="10" spans="1:7" ht="30" x14ac:dyDescent="0.25">
      <c r="A10" s="222">
        <v>1</v>
      </c>
      <c r="B10" s="154" t="s">
        <v>584</v>
      </c>
      <c r="C10" s="403" t="s">
        <v>205</v>
      </c>
      <c r="D10" s="404">
        <v>5.6</v>
      </c>
      <c r="E10" s="405">
        <f>90*C7</f>
        <v>405.17099999999999</v>
      </c>
      <c r="F10" s="377">
        <f t="shared" ref="F10:F15" si="0">D10*E10</f>
        <v>2268.9575999999997</v>
      </c>
      <c r="G10" s="377">
        <f>F10/C7</f>
        <v>503.99999999999994</v>
      </c>
    </row>
    <row r="11" spans="1:7" ht="30" x14ac:dyDescent="0.25">
      <c r="A11" s="222">
        <v>2</v>
      </c>
      <c r="B11" s="154" t="s">
        <v>585</v>
      </c>
      <c r="C11" s="403" t="s">
        <v>205</v>
      </c>
      <c r="D11" s="404">
        <v>5.6</v>
      </c>
      <c r="E11" s="405">
        <f>50*C7</f>
        <v>225.095</v>
      </c>
      <c r="F11" s="377">
        <f t="shared" si="0"/>
        <v>1260.5319999999999</v>
      </c>
      <c r="G11" s="377">
        <f>F11/C7</f>
        <v>280</v>
      </c>
    </row>
    <row r="12" spans="1:7" x14ac:dyDescent="0.25">
      <c r="A12" s="222">
        <v>3</v>
      </c>
      <c r="B12" s="223" t="s">
        <v>586</v>
      </c>
      <c r="C12" s="406" t="s">
        <v>162</v>
      </c>
      <c r="D12" s="407">
        <v>1008</v>
      </c>
      <c r="E12" s="408">
        <f>2*C7</f>
        <v>9.0038</v>
      </c>
      <c r="F12" s="377">
        <f t="shared" si="0"/>
        <v>9075.8304000000007</v>
      </c>
      <c r="G12" s="377">
        <f>F12/C7</f>
        <v>2016.0000000000002</v>
      </c>
    </row>
    <row r="13" spans="1:7" ht="30" x14ac:dyDescent="0.25">
      <c r="A13" s="222">
        <v>4</v>
      </c>
      <c r="B13" s="248" t="s">
        <v>587</v>
      </c>
      <c r="C13" s="406" t="s">
        <v>205</v>
      </c>
      <c r="D13" s="407">
        <v>1.4</v>
      </c>
      <c r="E13" s="408">
        <f>90*C7</f>
        <v>405.17099999999999</v>
      </c>
      <c r="F13" s="377">
        <f t="shared" si="0"/>
        <v>567.23939999999993</v>
      </c>
      <c r="G13" s="377">
        <f>F13/C7</f>
        <v>125.99999999999999</v>
      </c>
    </row>
    <row r="14" spans="1:7" x14ac:dyDescent="0.25">
      <c r="A14" s="222">
        <v>5</v>
      </c>
      <c r="B14" s="248" t="s">
        <v>588</v>
      </c>
      <c r="C14" s="406" t="s">
        <v>205</v>
      </c>
      <c r="D14" s="407">
        <v>1.4</v>
      </c>
      <c r="E14" s="408">
        <f>60*C7</f>
        <v>270.11399999999998</v>
      </c>
      <c r="F14" s="377">
        <f t="shared" si="0"/>
        <v>378.15959999999995</v>
      </c>
      <c r="G14" s="377">
        <f>F14/C7</f>
        <v>83.999999999999986</v>
      </c>
    </row>
    <row r="15" spans="1:7" x14ac:dyDescent="0.25">
      <c r="A15" s="222">
        <v>6</v>
      </c>
      <c r="B15" s="248" t="s">
        <v>589</v>
      </c>
      <c r="C15" s="406" t="s">
        <v>146</v>
      </c>
      <c r="D15" s="407">
        <v>10</v>
      </c>
      <c r="E15" s="408">
        <f>10*C7</f>
        <v>45.018999999999998</v>
      </c>
      <c r="F15" s="377">
        <f t="shared" si="0"/>
        <v>450.19</v>
      </c>
      <c r="G15" s="377">
        <f>F15/C7</f>
        <v>100</v>
      </c>
    </row>
    <row r="16" spans="1:7" x14ac:dyDescent="0.25">
      <c r="A16" s="409"/>
      <c r="B16" s="389" t="s">
        <v>382</v>
      </c>
      <c r="C16" s="410"/>
      <c r="D16" s="411"/>
      <c r="E16" s="412"/>
      <c r="F16" s="391">
        <f>SUM(F10:F15)</f>
        <v>14000.909000000001</v>
      </c>
      <c r="G16" s="391">
        <f>SUM(G10:G15)</f>
        <v>3110</v>
      </c>
    </row>
    <row r="17" spans="1:7" x14ac:dyDescent="0.25">
      <c r="A17" s="413"/>
      <c r="B17" s="393"/>
      <c r="C17" s="414"/>
      <c r="D17" s="415"/>
      <c r="E17" s="415"/>
      <c r="F17" s="416"/>
      <c r="G17" s="416"/>
    </row>
    <row r="18" spans="1:7" x14ac:dyDescent="0.25">
      <c r="A18" s="417">
        <v>2.2000000000000002</v>
      </c>
      <c r="B18" s="83" t="s">
        <v>590</v>
      </c>
      <c r="C18" s="406"/>
      <c r="D18" s="408"/>
      <c r="E18" s="408"/>
      <c r="F18" s="377"/>
      <c r="G18" s="377"/>
    </row>
    <row r="19" spans="1:7" x14ac:dyDescent="0.25">
      <c r="A19" s="222">
        <v>1</v>
      </c>
      <c r="B19" s="245" t="s">
        <v>591</v>
      </c>
      <c r="C19" s="406" t="s">
        <v>592</v>
      </c>
      <c r="D19" s="418">
        <v>6</v>
      </c>
      <c r="E19" s="408">
        <f>50*C7</f>
        <v>225.095</v>
      </c>
      <c r="F19" s="377">
        <f>D19*E19</f>
        <v>1350.57</v>
      </c>
      <c r="G19" s="377">
        <f>F19/C7</f>
        <v>300</v>
      </c>
    </row>
    <row r="20" spans="1:7" ht="25.5" x14ac:dyDescent="0.25">
      <c r="A20" s="419">
        <v>1</v>
      </c>
      <c r="B20" s="339" t="s">
        <v>593</v>
      </c>
      <c r="C20" s="420" t="s">
        <v>592</v>
      </c>
      <c r="D20" s="421">
        <v>6</v>
      </c>
      <c r="E20" s="422">
        <f>20*C7</f>
        <v>90.037999999999997</v>
      </c>
      <c r="F20" s="387">
        <f>D20*E20</f>
        <v>540.22799999999995</v>
      </c>
      <c r="G20" s="377">
        <f>F20/C7</f>
        <v>119.99999999999999</v>
      </c>
    </row>
    <row r="21" spans="1:7" x14ac:dyDescent="0.25">
      <c r="A21" s="423"/>
      <c r="B21" s="389" t="s">
        <v>382</v>
      </c>
      <c r="C21" s="424"/>
      <c r="D21" s="412"/>
      <c r="E21" s="412"/>
      <c r="F21" s="391">
        <f>SUM(F19:F20)</f>
        <v>1890.7979999999998</v>
      </c>
      <c r="G21" s="377">
        <f>F21/C7</f>
        <v>419.99999999999994</v>
      </c>
    </row>
    <row r="22" spans="1:7" x14ac:dyDescent="0.25">
      <c r="A22" s="425"/>
      <c r="B22" s="426"/>
      <c r="C22" s="427"/>
      <c r="D22" s="428"/>
      <c r="E22" s="428"/>
      <c r="F22" s="429"/>
      <c r="G22" s="429"/>
    </row>
    <row r="23" spans="1:7" ht="15.75" thickBot="1" x14ac:dyDescent="0.3">
      <c r="A23" s="365"/>
      <c r="B23" s="133"/>
      <c r="C23" s="366"/>
      <c r="D23" s="367"/>
    </row>
    <row r="24" spans="1:7" ht="27" thickBot="1" x14ac:dyDescent="0.3">
      <c r="A24" s="78" t="s">
        <v>0</v>
      </c>
      <c r="B24" s="317" t="s">
        <v>198</v>
      </c>
      <c r="C24" s="317" t="s">
        <v>37</v>
      </c>
      <c r="D24" s="317" t="s">
        <v>199</v>
      </c>
      <c r="E24" s="317" t="s">
        <v>200</v>
      </c>
      <c r="F24" s="317" t="s">
        <v>682</v>
      </c>
      <c r="G24" s="317" t="s">
        <v>201</v>
      </c>
    </row>
    <row r="25" spans="1:7" x14ac:dyDescent="0.25">
      <c r="A25" s="417">
        <v>3.1</v>
      </c>
      <c r="B25" s="430" t="s">
        <v>594</v>
      </c>
      <c r="C25" s="375"/>
      <c r="D25" s="376"/>
      <c r="E25" s="376"/>
      <c r="F25" s="376"/>
      <c r="G25" s="376"/>
    </row>
    <row r="26" spans="1:7" x14ac:dyDescent="0.25">
      <c r="A26" s="431" t="s">
        <v>595</v>
      </c>
      <c r="B26" s="81" t="s">
        <v>594</v>
      </c>
      <c r="C26" s="382" t="s">
        <v>254</v>
      </c>
      <c r="D26" s="432">
        <v>215</v>
      </c>
      <c r="E26" s="381">
        <f>4.9*C7</f>
        <v>22.05931</v>
      </c>
      <c r="F26" s="381">
        <f>D26*E26</f>
        <v>4742.7516500000002</v>
      </c>
      <c r="G26" s="381">
        <f>F26/C7</f>
        <v>1053.5</v>
      </c>
    </row>
    <row r="27" spans="1:7" x14ac:dyDescent="0.25">
      <c r="A27" s="431" t="s">
        <v>596</v>
      </c>
      <c r="B27" s="81" t="s">
        <v>597</v>
      </c>
      <c r="C27" s="382" t="s">
        <v>254</v>
      </c>
      <c r="D27" s="380">
        <v>10</v>
      </c>
      <c r="E27" s="381">
        <f>7.15*C7</f>
        <v>32.188585000000003</v>
      </c>
      <c r="F27" s="381">
        <f>D27*E27</f>
        <v>321.88585</v>
      </c>
      <c r="G27" s="381">
        <f>F27/C7</f>
        <v>71.5</v>
      </c>
    </row>
    <row r="28" spans="1:7" x14ac:dyDescent="0.25">
      <c r="A28" s="433" t="s">
        <v>598</v>
      </c>
      <c r="B28" s="393" t="s">
        <v>242</v>
      </c>
      <c r="C28" s="397" t="s">
        <v>243</v>
      </c>
      <c r="D28" s="398">
        <v>25</v>
      </c>
      <c r="E28" s="395">
        <f>1*C7</f>
        <v>4.5019</v>
      </c>
      <c r="F28" s="395">
        <f>D28*E28</f>
        <v>112.5475</v>
      </c>
      <c r="G28" s="395">
        <f>F28/C7</f>
        <v>25</v>
      </c>
    </row>
    <row r="29" spans="1:7" x14ac:dyDescent="0.25">
      <c r="A29" s="434"/>
      <c r="B29" s="389" t="s">
        <v>382</v>
      </c>
      <c r="C29" s="435"/>
      <c r="D29" s="265"/>
      <c r="E29" s="265"/>
      <c r="F29" s="436">
        <f>SUM(F26:F28)</f>
        <v>5177.1849999999995</v>
      </c>
      <c r="G29" s="436">
        <f>SUM(G26:G28)</f>
        <v>1150</v>
      </c>
    </row>
    <row r="30" spans="1:7" x14ac:dyDescent="0.25">
      <c r="A30" s="368"/>
      <c r="B30" s="246"/>
      <c r="C30" s="250"/>
      <c r="D30" s="250"/>
      <c r="E30" s="369"/>
    </row>
    <row r="31" spans="1:7" x14ac:dyDescent="0.25">
      <c r="A31" s="368"/>
      <c r="B31" s="136" t="s">
        <v>554</v>
      </c>
      <c r="C31" s="250"/>
      <c r="D31" s="250"/>
      <c r="E31" s="369"/>
    </row>
    <row r="32" spans="1:7" x14ac:dyDescent="0.25">
      <c r="A32" s="368"/>
      <c r="B32" s="137" t="s">
        <v>195</v>
      </c>
      <c r="C32" s="250"/>
      <c r="D32" s="250"/>
      <c r="E32" s="369"/>
    </row>
  </sheetData>
  <mergeCells count="1">
    <mergeCell ref="A4:D4"/>
  </mergeCell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19" zoomScaleNormal="100" workbookViewId="0">
      <selection activeCell="F48" sqref="A1:G48"/>
    </sheetView>
  </sheetViews>
  <sheetFormatPr defaultRowHeight="15" x14ac:dyDescent="0.25"/>
  <cols>
    <col min="1" max="1" width="5.28515625" customWidth="1"/>
    <col min="2" max="2" width="45.28515625" customWidth="1"/>
    <col min="3" max="3" width="9.42578125" bestFit="1" customWidth="1"/>
    <col min="4" max="4" width="9" customWidth="1"/>
    <col min="5" max="5" width="9.42578125" bestFit="1" customWidth="1"/>
    <col min="6" max="6" width="12.28515625" bestFit="1" customWidth="1"/>
    <col min="7" max="7" width="12" hidden="1" customWidth="1"/>
    <col min="257" max="257" width="5.28515625" customWidth="1"/>
    <col min="258" max="258" width="45.28515625" customWidth="1"/>
    <col min="260" max="260" width="9" customWidth="1"/>
    <col min="513" max="513" width="5.28515625" customWidth="1"/>
    <col min="514" max="514" width="45.28515625" customWidth="1"/>
    <col min="516" max="516" width="9" customWidth="1"/>
    <col min="769" max="769" width="5.28515625" customWidth="1"/>
    <col min="770" max="770" width="45.28515625" customWidth="1"/>
    <col min="772" max="772" width="9" customWidth="1"/>
    <col min="1025" max="1025" width="5.28515625" customWidth="1"/>
    <col min="1026" max="1026" width="45.28515625" customWidth="1"/>
    <col min="1028" max="1028" width="9" customWidth="1"/>
    <col min="1281" max="1281" width="5.28515625" customWidth="1"/>
    <col min="1282" max="1282" width="45.28515625" customWidth="1"/>
    <col min="1284" max="1284" width="9" customWidth="1"/>
    <col min="1537" max="1537" width="5.28515625" customWidth="1"/>
    <col min="1538" max="1538" width="45.28515625" customWidth="1"/>
    <col min="1540" max="1540" width="9" customWidth="1"/>
    <col min="1793" max="1793" width="5.28515625" customWidth="1"/>
    <col min="1794" max="1794" width="45.28515625" customWidth="1"/>
    <col min="1796" max="1796" width="9" customWidth="1"/>
    <col min="2049" max="2049" width="5.28515625" customWidth="1"/>
    <col min="2050" max="2050" width="45.28515625" customWidth="1"/>
    <col min="2052" max="2052" width="9" customWidth="1"/>
    <col min="2305" max="2305" width="5.28515625" customWidth="1"/>
    <col min="2306" max="2306" width="45.28515625" customWidth="1"/>
    <col min="2308" max="2308" width="9" customWidth="1"/>
    <col min="2561" max="2561" width="5.28515625" customWidth="1"/>
    <col min="2562" max="2562" width="45.28515625" customWidth="1"/>
    <col min="2564" max="2564" width="9" customWidth="1"/>
    <col min="2817" max="2817" width="5.28515625" customWidth="1"/>
    <col min="2818" max="2818" width="45.28515625" customWidth="1"/>
    <col min="2820" max="2820" width="9" customWidth="1"/>
    <col min="3073" max="3073" width="5.28515625" customWidth="1"/>
    <col min="3074" max="3074" width="45.28515625" customWidth="1"/>
    <col min="3076" max="3076" width="9" customWidth="1"/>
    <col min="3329" max="3329" width="5.28515625" customWidth="1"/>
    <col min="3330" max="3330" width="45.28515625" customWidth="1"/>
    <col min="3332" max="3332" width="9" customWidth="1"/>
    <col min="3585" max="3585" width="5.28515625" customWidth="1"/>
    <col min="3586" max="3586" width="45.28515625" customWidth="1"/>
    <col min="3588" max="3588" width="9" customWidth="1"/>
    <col min="3841" max="3841" width="5.28515625" customWidth="1"/>
    <col min="3842" max="3842" width="45.28515625" customWidth="1"/>
    <col min="3844" max="3844" width="9" customWidth="1"/>
    <col min="4097" max="4097" width="5.28515625" customWidth="1"/>
    <col min="4098" max="4098" width="45.28515625" customWidth="1"/>
    <col min="4100" max="4100" width="9" customWidth="1"/>
    <col min="4353" max="4353" width="5.28515625" customWidth="1"/>
    <col min="4354" max="4354" width="45.28515625" customWidth="1"/>
    <col min="4356" max="4356" width="9" customWidth="1"/>
    <col min="4609" max="4609" width="5.28515625" customWidth="1"/>
    <col min="4610" max="4610" width="45.28515625" customWidth="1"/>
    <col min="4612" max="4612" width="9" customWidth="1"/>
    <col min="4865" max="4865" width="5.28515625" customWidth="1"/>
    <col min="4866" max="4866" width="45.28515625" customWidth="1"/>
    <col min="4868" max="4868" width="9" customWidth="1"/>
    <col min="5121" max="5121" width="5.28515625" customWidth="1"/>
    <col min="5122" max="5122" width="45.28515625" customWidth="1"/>
    <col min="5124" max="5124" width="9" customWidth="1"/>
    <col min="5377" max="5377" width="5.28515625" customWidth="1"/>
    <col min="5378" max="5378" width="45.28515625" customWidth="1"/>
    <col min="5380" max="5380" width="9" customWidth="1"/>
    <col min="5633" max="5633" width="5.28515625" customWidth="1"/>
    <col min="5634" max="5634" width="45.28515625" customWidth="1"/>
    <col min="5636" max="5636" width="9" customWidth="1"/>
    <col min="5889" max="5889" width="5.28515625" customWidth="1"/>
    <col min="5890" max="5890" width="45.28515625" customWidth="1"/>
    <col min="5892" max="5892" width="9" customWidth="1"/>
    <col min="6145" max="6145" width="5.28515625" customWidth="1"/>
    <col min="6146" max="6146" width="45.28515625" customWidth="1"/>
    <col min="6148" max="6148" width="9" customWidth="1"/>
    <col min="6401" max="6401" width="5.28515625" customWidth="1"/>
    <col min="6402" max="6402" width="45.28515625" customWidth="1"/>
    <col min="6404" max="6404" width="9" customWidth="1"/>
    <col min="6657" max="6657" width="5.28515625" customWidth="1"/>
    <col min="6658" max="6658" width="45.28515625" customWidth="1"/>
    <col min="6660" max="6660" width="9" customWidth="1"/>
    <col min="6913" max="6913" width="5.28515625" customWidth="1"/>
    <col min="6914" max="6914" width="45.28515625" customWidth="1"/>
    <col min="6916" max="6916" width="9" customWidth="1"/>
    <col min="7169" max="7169" width="5.28515625" customWidth="1"/>
    <col min="7170" max="7170" width="45.28515625" customWidth="1"/>
    <col min="7172" max="7172" width="9" customWidth="1"/>
    <col min="7425" max="7425" width="5.28515625" customWidth="1"/>
    <col min="7426" max="7426" width="45.28515625" customWidth="1"/>
    <col min="7428" max="7428" width="9" customWidth="1"/>
    <col min="7681" max="7681" width="5.28515625" customWidth="1"/>
    <col min="7682" max="7682" width="45.28515625" customWidth="1"/>
    <col min="7684" max="7684" width="9" customWidth="1"/>
    <col min="7937" max="7937" width="5.28515625" customWidth="1"/>
    <col min="7938" max="7938" width="45.28515625" customWidth="1"/>
    <col min="7940" max="7940" width="9" customWidth="1"/>
    <col min="8193" max="8193" width="5.28515625" customWidth="1"/>
    <col min="8194" max="8194" width="45.28515625" customWidth="1"/>
    <col min="8196" max="8196" width="9" customWidth="1"/>
    <col min="8449" max="8449" width="5.28515625" customWidth="1"/>
    <col min="8450" max="8450" width="45.28515625" customWidth="1"/>
    <col min="8452" max="8452" width="9" customWidth="1"/>
    <col min="8705" max="8705" width="5.28515625" customWidth="1"/>
    <col min="8706" max="8706" width="45.28515625" customWidth="1"/>
    <col min="8708" max="8708" width="9" customWidth="1"/>
    <col min="8961" max="8961" width="5.28515625" customWidth="1"/>
    <col min="8962" max="8962" width="45.28515625" customWidth="1"/>
    <col min="8964" max="8964" width="9" customWidth="1"/>
    <col min="9217" max="9217" width="5.28515625" customWidth="1"/>
    <col min="9218" max="9218" width="45.28515625" customWidth="1"/>
    <col min="9220" max="9220" width="9" customWidth="1"/>
    <col min="9473" max="9473" width="5.28515625" customWidth="1"/>
    <col min="9474" max="9474" width="45.28515625" customWidth="1"/>
    <col min="9476" max="9476" width="9" customWidth="1"/>
    <col min="9729" max="9729" width="5.28515625" customWidth="1"/>
    <col min="9730" max="9730" width="45.28515625" customWidth="1"/>
    <col min="9732" max="9732" width="9" customWidth="1"/>
    <col min="9985" max="9985" width="5.28515625" customWidth="1"/>
    <col min="9986" max="9986" width="45.28515625" customWidth="1"/>
    <col min="9988" max="9988" width="9" customWidth="1"/>
    <col min="10241" max="10241" width="5.28515625" customWidth="1"/>
    <col min="10242" max="10242" width="45.28515625" customWidth="1"/>
    <col min="10244" max="10244" width="9" customWidth="1"/>
    <col min="10497" max="10497" width="5.28515625" customWidth="1"/>
    <col min="10498" max="10498" width="45.28515625" customWidth="1"/>
    <col min="10500" max="10500" width="9" customWidth="1"/>
    <col min="10753" max="10753" width="5.28515625" customWidth="1"/>
    <col min="10754" max="10754" width="45.28515625" customWidth="1"/>
    <col min="10756" max="10756" width="9" customWidth="1"/>
    <col min="11009" max="11009" width="5.28515625" customWidth="1"/>
    <col min="11010" max="11010" width="45.28515625" customWidth="1"/>
    <col min="11012" max="11012" width="9" customWidth="1"/>
    <col min="11265" max="11265" width="5.28515625" customWidth="1"/>
    <col min="11266" max="11266" width="45.28515625" customWidth="1"/>
    <col min="11268" max="11268" width="9" customWidth="1"/>
    <col min="11521" max="11521" width="5.28515625" customWidth="1"/>
    <col min="11522" max="11522" width="45.28515625" customWidth="1"/>
    <col min="11524" max="11524" width="9" customWidth="1"/>
    <col min="11777" max="11777" width="5.28515625" customWidth="1"/>
    <col min="11778" max="11778" width="45.28515625" customWidth="1"/>
    <col min="11780" max="11780" width="9" customWidth="1"/>
    <col min="12033" max="12033" width="5.28515625" customWidth="1"/>
    <col min="12034" max="12034" width="45.28515625" customWidth="1"/>
    <col min="12036" max="12036" width="9" customWidth="1"/>
    <col min="12289" max="12289" width="5.28515625" customWidth="1"/>
    <col min="12290" max="12290" width="45.28515625" customWidth="1"/>
    <col min="12292" max="12292" width="9" customWidth="1"/>
    <col min="12545" max="12545" width="5.28515625" customWidth="1"/>
    <col min="12546" max="12546" width="45.28515625" customWidth="1"/>
    <col min="12548" max="12548" width="9" customWidth="1"/>
    <col min="12801" max="12801" width="5.28515625" customWidth="1"/>
    <col min="12802" max="12802" width="45.28515625" customWidth="1"/>
    <col min="12804" max="12804" width="9" customWidth="1"/>
    <col min="13057" max="13057" width="5.28515625" customWidth="1"/>
    <col min="13058" max="13058" width="45.28515625" customWidth="1"/>
    <col min="13060" max="13060" width="9" customWidth="1"/>
    <col min="13313" max="13313" width="5.28515625" customWidth="1"/>
    <col min="13314" max="13314" width="45.28515625" customWidth="1"/>
    <col min="13316" max="13316" width="9" customWidth="1"/>
    <col min="13569" max="13569" width="5.28515625" customWidth="1"/>
    <col min="13570" max="13570" width="45.28515625" customWidth="1"/>
    <col min="13572" max="13572" width="9" customWidth="1"/>
    <col min="13825" max="13825" width="5.28515625" customWidth="1"/>
    <col min="13826" max="13826" width="45.28515625" customWidth="1"/>
    <col min="13828" max="13828" width="9" customWidth="1"/>
    <col min="14081" max="14081" width="5.28515625" customWidth="1"/>
    <col min="14082" max="14082" width="45.28515625" customWidth="1"/>
    <col min="14084" max="14084" width="9" customWidth="1"/>
    <col min="14337" max="14337" width="5.28515625" customWidth="1"/>
    <col min="14338" max="14338" width="45.28515625" customWidth="1"/>
    <col min="14340" max="14340" width="9" customWidth="1"/>
    <col min="14593" max="14593" width="5.28515625" customWidth="1"/>
    <col min="14594" max="14594" width="45.28515625" customWidth="1"/>
    <col min="14596" max="14596" width="9" customWidth="1"/>
    <col min="14849" max="14849" width="5.28515625" customWidth="1"/>
    <col min="14850" max="14850" width="45.28515625" customWidth="1"/>
    <col min="14852" max="14852" width="9" customWidth="1"/>
    <col min="15105" max="15105" width="5.28515625" customWidth="1"/>
    <col min="15106" max="15106" width="45.28515625" customWidth="1"/>
    <col min="15108" max="15108" width="9" customWidth="1"/>
    <col min="15361" max="15361" width="5.28515625" customWidth="1"/>
    <col min="15362" max="15362" width="45.28515625" customWidth="1"/>
    <col min="15364" max="15364" width="9" customWidth="1"/>
    <col min="15617" max="15617" width="5.28515625" customWidth="1"/>
    <col min="15618" max="15618" width="45.28515625" customWidth="1"/>
    <col min="15620" max="15620" width="9" customWidth="1"/>
    <col min="15873" max="15873" width="5.28515625" customWidth="1"/>
    <col min="15874" max="15874" width="45.28515625" customWidth="1"/>
    <col min="15876" max="15876" width="9" customWidth="1"/>
    <col min="16129" max="16129" width="5.28515625" customWidth="1"/>
    <col min="16130" max="16130" width="45.28515625" customWidth="1"/>
    <col min="16132" max="16132" width="9" customWidth="1"/>
  </cols>
  <sheetData>
    <row r="1" spans="1:7" ht="35.25" customHeight="1" x14ac:dyDescent="0.25">
      <c r="B1" s="140" t="s">
        <v>248</v>
      </c>
      <c r="C1" s="140"/>
      <c r="D1" s="140"/>
      <c r="E1" s="140"/>
    </row>
    <row r="2" spans="1:7" x14ac:dyDescent="0.25">
      <c r="B2" s="140" t="s">
        <v>29</v>
      </c>
      <c r="C2" s="140"/>
      <c r="D2" s="140"/>
      <c r="E2" s="140"/>
    </row>
    <row r="3" spans="1:7" ht="15.75" x14ac:dyDescent="0.25">
      <c r="A3" s="760" t="s">
        <v>520</v>
      </c>
      <c r="B3" s="760"/>
      <c r="C3" s="760"/>
      <c r="D3" s="760"/>
    </row>
    <row r="4" spans="1:7" ht="15.75" thickBot="1" x14ac:dyDescent="0.3">
      <c r="A4" s="345"/>
      <c r="B4" s="437" t="s">
        <v>599</v>
      </c>
      <c r="C4" s="345"/>
      <c r="D4" s="29"/>
    </row>
    <row r="5" spans="1:7" ht="16.5" hidden="1" thickBot="1" x14ac:dyDescent="0.3">
      <c r="A5" s="345"/>
      <c r="B5" s="547" t="s">
        <v>11</v>
      </c>
      <c r="C5" s="10">
        <v>4.5019</v>
      </c>
      <c r="D5" s="508" t="s">
        <v>10</v>
      </c>
      <c r="E5" s="508"/>
      <c r="F5" s="509" t="s">
        <v>671</v>
      </c>
      <c r="G5" s="509"/>
    </row>
    <row r="6" spans="1:7" ht="27" thickBot="1" x14ac:dyDescent="0.3">
      <c r="A6" s="529" t="s">
        <v>0</v>
      </c>
      <c r="B6" s="614" t="s">
        <v>198</v>
      </c>
      <c r="C6" s="614" t="s">
        <v>37</v>
      </c>
      <c r="D6" s="614" t="s">
        <v>199</v>
      </c>
      <c r="E6" s="614" t="s">
        <v>200</v>
      </c>
      <c r="F6" s="614" t="s">
        <v>682</v>
      </c>
      <c r="G6" s="317" t="s">
        <v>201</v>
      </c>
    </row>
    <row r="7" spans="1:7" x14ac:dyDescent="0.25">
      <c r="A7" s="533"/>
      <c r="B7" s="532"/>
      <c r="C7" s="410"/>
      <c r="D7" s="412"/>
      <c r="E7" s="412"/>
      <c r="F7" s="540"/>
      <c r="G7" s="377"/>
    </row>
    <row r="8" spans="1:7" x14ac:dyDescent="0.25">
      <c r="A8" s="624">
        <v>1</v>
      </c>
      <c r="B8" s="627" t="s">
        <v>600</v>
      </c>
      <c r="C8" s="410"/>
      <c r="D8" s="412"/>
      <c r="E8" s="412"/>
      <c r="F8" s="540"/>
      <c r="G8" s="377"/>
    </row>
    <row r="9" spans="1:7" x14ac:dyDescent="0.25">
      <c r="A9" s="533">
        <v>1.1000000000000001</v>
      </c>
      <c r="B9" s="389" t="s">
        <v>591</v>
      </c>
      <c r="C9" s="410" t="s">
        <v>592</v>
      </c>
      <c r="D9" s="628">
        <v>2.5</v>
      </c>
      <c r="E9" s="412">
        <f>50*C5</f>
        <v>225.095</v>
      </c>
      <c r="F9" s="540">
        <f t="shared" ref="F9:F16" si="0">D9*E9</f>
        <v>562.73749999999995</v>
      </c>
      <c r="G9" s="377">
        <f>F9/C5</f>
        <v>124.99999999999999</v>
      </c>
    </row>
    <row r="10" spans="1:7" x14ac:dyDescent="0.25">
      <c r="A10" s="533">
        <v>1.2</v>
      </c>
      <c r="B10" s="389" t="s">
        <v>601</v>
      </c>
      <c r="C10" s="410" t="s">
        <v>146</v>
      </c>
      <c r="D10" s="628">
        <v>37.5</v>
      </c>
      <c r="E10" s="412">
        <f>10*C5</f>
        <v>45.018999999999998</v>
      </c>
      <c r="F10" s="540">
        <f t="shared" si="0"/>
        <v>1688.2124999999999</v>
      </c>
      <c r="G10" s="377">
        <f>F10/C5</f>
        <v>374.99999999999994</v>
      </c>
    </row>
    <row r="11" spans="1:7" ht="25.5" x14ac:dyDescent="0.25">
      <c r="A11" s="533">
        <v>1.3</v>
      </c>
      <c r="B11" s="226" t="s">
        <v>602</v>
      </c>
      <c r="C11" s="410" t="s">
        <v>146</v>
      </c>
      <c r="D11" s="628">
        <v>37.5</v>
      </c>
      <c r="E11" s="412">
        <f>100*C5</f>
        <v>450.19</v>
      </c>
      <c r="F11" s="540">
        <f t="shared" si="0"/>
        <v>16882.125</v>
      </c>
      <c r="G11" s="377">
        <f>F11/C5</f>
        <v>3750</v>
      </c>
    </row>
    <row r="12" spans="1:7" ht="25.5" x14ac:dyDescent="0.25">
      <c r="A12" s="533">
        <v>1.4</v>
      </c>
      <c r="B12" s="226" t="s">
        <v>603</v>
      </c>
      <c r="C12" s="438" t="s">
        <v>254</v>
      </c>
      <c r="D12" s="628">
        <v>170</v>
      </c>
      <c r="E12" s="412">
        <f>8*C5</f>
        <v>36.0152</v>
      </c>
      <c r="F12" s="540">
        <f t="shared" si="0"/>
        <v>6122.5839999999998</v>
      </c>
      <c r="G12" s="377">
        <f>F12/C5</f>
        <v>1360</v>
      </c>
    </row>
    <row r="13" spans="1:7" x14ac:dyDescent="0.25">
      <c r="A13" s="533">
        <v>1.5</v>
      </c>
      <c r="B13" s="226" t="s">
        <v>604</v>
      </c>
      <c r="C13" s="438" t="s">
        <v>146</v>
      </c>
      <c r="D13" s="628">
        <v>10</v>
      </c>
      <c r="E13" s="412">
        <f>10*C5</f>
        <v>45.018999999999998</v>
      </c>
      <c r="F13" s="540">
        <f t="shared" si="0"/>
        <v>450.19</v>
      </c>
      <c r="G13" s="377">
        <f>F13/C5</f>
        <v>100</v>
      </c>
    </row>
    <row r="14" spans="1:7" x14ac:dyDescent="0.25">
      <c r="A14" s="533">
        <v>1.7</v>
      </c>
      <c r="B14" s="226" t="s">
        <v>605</v>
      </c>
      <c r="C14" s="438" t="s">
        <v>146</v>
      </c>
      <c r="D14" s="628">
        <v>10</v>
      </c>
      <c r="E14" s="412">
        <f>11*C5</f>
        <v>49.520899999999997</v>
      </c>
      <c r="F14" s="540">
        <f t="shared" si="0"/>
        <v>495.20899999999995</v>
      </c>
      <c r="G14" s="377">
        <f>F14/C5</f>
        <v>109.99999999999999</v>
      </c>
    </row>
    <row r="15" spans="1:7" x14ac:dyDescent="0.25">
      <c r="A15" s="533">
        <v>1.8</v>
      </c>
      <c r="B15" s="226" t="s">
        <v>558</v>
      </c>
      <c r="C15" s="438" t="s">
        <v>162</v>
      </c>
      <c r="D15" s="628">
        <v>18</v>
      </c>
      <c r="E15" s="412">
        <f>2*C5</f>
        <v>9.0038</v>
      </c>
      <c r="F15" s="540">
        <f t="shared" si="0"/>
        <v>162.0684</v>
      </c>
      <c r="G15" s="377">
        <f>F15/C5</f>
        <v>36</v>
      </c>
    </row>
    <row r="16" spans="1:7" x14ac:dyDescent="0.25">
      <c r="A16" s="533">
        <v>1.9</v>
      </c>
      <c r="B16" s="226" t="s">
        <v>559</v>
      </c>
      <c r="C16" s="438" t="s">
        <v>162</v>
      </c>
      <c r="D16" s="628">
        <v>18</v>
      </c>
      <c r="E16" s="412">
        <f>2*C5</f>
        <v>9.0038</v>
      </c>
      <c r="F16" s="540">
        <f t="shared" si="0"/>
        <v>162.0684</v>
      </c>
      <c r="G16" s="377">
        <f>F16/C5</f>
        <v>36</v>
      </c>
    </row>
    <row r="17" spans="1:7" x14ac:dyDescent="0.25">
      <c r="A17" s="533"/>
      <c r="B17" s="389" t="s">
        <v>382</v>
      </c>
      <c r="C17" s="438"/>
      <c r="D17" s="412"/>
      <c r="E17" s="412"/>
      <c r="F17" s="391">
        <f>SUM(F9:F16)</f>
        <v>26525.194799999997</v>
      </c>
      <c r="G17" s="391">
        <f>SUM(G9:G16)</f>
        <v>5892</v>
      </c>
    </row>
    <row r="18" spans="1:7" ht="15.75" thickBot="1" x14ac:dyDescent="0.3">
      <c r="A18" s="345"/>
      <c r="B18" s="437" t="s">
        <v>606</v>
      </c>
      <c r="C18" s="345"/>
      <c r="D18" s="345"/>
    </row>
    <row r="19" spans="1:7" ht="27" thickBot="1" x14ac:dyDescent="0.3">
      <c r="A19" s="529" t="s">
        <v>0</v>
      </c>
      <c r="B19" s="614" t="s">
        <v>198</v>
      </c>
      <c r="C19" s="614" t="s">
        <v>37</v>
      </c>
      <c r="D19" s="614" t="s">
        <v>199</v>
      </c>
      <c r="E19" s="614" t="s">
        <v>200</v>
      </c>
      <c r="F19" s="614" t="s">
        <v>682</v>
      </c>
      <c r="G19" s="317" t="s">
        <v>201</v>
      </c>
    </row>
    <row r="20" spans="1:7" ht="12.75" customHeight="1" x14ac:dyDescent="0.25">
      <c r="A20" s="533"/>
      <c r="B20" s="532"/>
      <c r="C20" s="410"/>
      <c r="D20" s="412"/>
      <c r="E20" s="412"/>
      <c r="F20" s="540"/>
      <c r="G20" s="377"/>
    </row>
    <row r="21" spans="1:7" ht="18" customHeight="1" x14ac:dyDescent="0.25">
      <c r="A21" s="624">
        <v>2</v>
      </c>
      <c r="B21" s="627" t="s">
        <v>607</v>
      </c>
      <c r="C21" s="410"/>
      <c r="D21" s="412"/>
      <c r="E21" s="412"/>
      <c r="F21" s="540"/>
      <c r="G21" s="377"/>
    </row>
    <row r="22" spans="1:7" ht="15.75" customHeight="1" x14ac:dyDescent="0.25">
      <c r="A22" s="533">
        <v>2.1</v>
      </c>
      <c r="B22" s="389" t="s">
        <v>591</v>
      </c>
      <c r="C22" s="410" t="s">
        <v>592</v>
      </c>
      <c r="D22" s="628">
        <v>1.3</v>
      </c>
      <c r="E22" s="412">
        <f>50*C5</f>
        <v>225.095</v>
      </c>
      <c r="F22" s="540">
        <f>D22*E22</f>
        <v>292.62350000000004</v>
      </c>
      <c r="G22" s="377">
        <f>F22/C5</f>
        <v>65.000000000000014</v>
      </c>
    </row>
    <row r="23" spans="1:7" x14ac:dyDescent="0.25">
      <c r="A23" s="533">
        <v>2.2000000000000002</v>
      </c>
      <c r="B23" s="389" t="s">
        <v>601</v>
      </c>
      <c r="C23" s="410" t="s">
        <v>146</v>
      </c>
      <c r="D23" s="628">
        <v>19.5</v>
      </c>
      <c r="E23" s="412">
        <f>10*C5</f>
        <v>45.018999999999998</v>
      </c>
      <c r="F23" s="540">
        <f>D23*E23</f>
        <v>877.87049999999999</v>
      </c>
      <c r="G23" s="377">
        <f>F23/C5</f>
        <v>195</v>
      </c>
    </row>
    <row r="24" spans="1:7" x14ac:dyDescent="0.25">
      <c r="A24" s="533">
        <v>2.2999999999999998</v>
      </c>
      <c r="B24" s="389" t="s">
        <v>608</v>
      </c>
      <c r="C24" s="410" t="s">
        <v>146</v>
      </c>
      <c r="D24" s="628">
        <v>6.5</v>
      </c>
      <c r="E24" s="629">
        <f>15*C5</f>
        <v>67.528499999999994</v>
      </c>
      <c r="F24" s="540">
        <f>D24*E24</f>
        <v>438.93524999999994</v>
      </c>
      <c r="G24" s="377">
        <f>F24/C5</f>
        <v>97.499999999999986</v>
      </c>
    </row>
    <row r="25" spans="1:7" ht="27" customHeight="1" x14ac:dyDescent="0.25">
      <c r="A25" s="533">
        <v>2.4</v>
      </c>
      <c r="B25" s="226" t="s">
        <v>609</v>
      </c>
      <c r="C25" s="410" t="s">
        <v>153</v>
      </c>
      <c r="D25" s="628">
        <v>130</v>
      </c>
      <c r="E25" s="629">
        <f>18*C5</f>
        <v>81.034199999999998</v>
      </c>
      <c r="F25" s="540">
        <f>D25*E25</f>
        <v>10534.446</v>
      </c>
      <c r="G25" s="377">
        <f>F25/C5</f>
        <v>2340</v>
      </c>
    </row>
    <row r="26" spans="1:7" ht="25.5" x14ac:dyDescent="0.25">
      <c r="A26" s="533">
        <v>2.5</v>
      </c>
      <c r="B26" s="226" t="s">
        <v>603</v>
      </c>
      <c r="C26" s="438" t="s">
        <v>254</v>
      </c>
      <c r="D26" s="629">
        <v>140</v>
      </c>
      <c r="E26" s="412">
        <f>8*C5</f>
        <v>36.0152</v>
      </c>
      <c r="F26" s="540">
        <f>D26*E26</f>
        <v>5042.1279999999997</v>
      </c>
      <c r="G26" s="377">
        <f>F26/C5</f>
        <v>1120</v>
      </c>
    </row>
    <row r="27" spans="1:7" x14ac:dyDescent="0.25">
      <c r="A27" s="533"/>
      <c r="B27" s="389" t="s">
        <v>382</v>
      </c>
      <c r="C27" s="438"/>
      <c r="D27" s="412"/>
      <c r="E27" s="412"/>
      <c r="F27" s="391">
        <f>SUM(F22:F26)</f>
        <v>17186.003250000002</v>
      </c>
      <c r="G27" s="391">
        <f>SUM(G22:G26)</f>
        <v>3817.5</v>
      </c>
    </row>
    <row r="28" spans="1:7" ht="15.75" thickBot="1" x14ac:dyDescent="0.3">
      <c r="B28" s="29" t="s">
        <v>610</v>
      </c>
    </row>
    <row r="29" spans="1:7" ht="26.25" thickBot="1" x14ac:dyDescent="0.3">
      <c r="A29" s="252" t="s">
        <v>0</v>
      </c>
      <c r="B29" s="252" t="s">
        <v>506</v>
      </c>
      <c r="C29" s="252" t="s">
        <v>507</v>
      </c>
      <c r="D29" s="252" t="s">
        <v>199</v>
      </c>
      <c r="E29" s="252" t="s">
        <v>200</v>
      </c>
      <c r="F29" s="317" t="s">
        <v>682</v>
      </c>
      <c r="G29" s="252" t="s">
        <v>201</v>
      </c>
    </row>
    <row r="30" spans="1:7" x14ac:dyDescent="0.25">
      <c r="A30" s="253">
        <v>0</v>
      </c>
      <c r="B30" s="253">
        <v>1</v>
      </c>
      <c r="C30" s="253">
        <v>2</v>
      </c>
      <c r="D30" s="253">
        <v>3</v>
      </c>
      <c r="E30" s="253"/>
      <c r="F30" s="253"/>
      <c r="G30" s="253"/>
    </row>
    <row r="31" spans="1:7" x14ac:dyDescent="0.25">
      <c r="A31" s="329">
        <v>1</v>
      </c>
      <c r="B31" s="630" t="s">
        <v>611</v>
      </c>
      <c r="C31" s="630" t="s">
        <v>153</v>
      </c>
      <c r="D31" s="631">
        <v>20</v>
      </c>
      <c r="E31" s="631">
        <f>1*C5</f>
        <v>4.5019</v>
      </c>
      <c r="F31" s="632">
        <f t="shared" ref="F31:F39" si="1">D31*E31</f>
        <v>90.037999999999997</v>
      </c>
      <c r="G31" s="439">
        <f>F31/C5</f>
        <v>20</v>
      </c>
    </row>
    <row r="32" spans="1:7" x14ac:dyDescent="0.25">
      <c r="A32" s="329">
        <v>2</v>
      </c>
      <c r="B32" s="630" t="s">
        <v>557</v>
      </c>
      <c r="C32" s="630" t="s">
        <v>146</v>
      </c>
      <c r="D32" s="631">
        <v>6</v>
      </c>
      <c r="E32" s="631">
        <f>11*C5</f>
        <v>49.520899999999997</v>
      </c>
      <c r="F32" s="632">
        <f t="shared" si="1"/>
        <v>297.12540000000001</v>
      </c>
      <c r="G32" s="440">
        <f>F32/C5</f>
        <v>66</v>
      </c>
    </row>
    <row r="33" spans="1:12" x14ac:dyDescent="0.25">
      <c r="A33" s="329">
        <v>3</v>
      </c>
      <c r="B33" s="630" t="s">
        <v>30</v>
      </c>
      <c r="C33" s="264" t="s">
        <v>162</v>
      </c>
      <c r="D33" s="631">
        <v>10.8</v>
      </c>
      <c r="E33" s="631">
        <f>2*C5</f>
        <v>9.0038</v>
      </c>
      <c r="F33" s="632">
        <f t="shared" si="1"/>
        <v>97.241040000000012</v>
      </c>
      <c r="G33" s="440">
        <f>F33/C5</f>
        <v>21.6</v>
      </c>
    </row>
    <row r="34" spans="1:12" x14ac:dyDescent="0.25">
      <c r="A34" s="329">
        <v>4</v>
      </c>
      <c r="B34" s="630" t="s">
        <v>559</v>
      </c>
      <c r="C34" s="264" t="s">
        <v>162</v>
      </c>
      <c r="D34" s="631">
        <v>10.8</v>
      </c>
      <c r="E34" s="631">
        <f>2*C5</f>
        <v>9.0038</v>
      </c>
      <c r="F34" s="632">
        <f t="shared" si="1"/>
        <v>97.241040000000012</v>
      </c>
      <c r="G34" s="440">
        <f>F34/C5</f>
        <v>21.6</v>
      </c>
    </row>
    <row r="35" spans="1:12" x14ac:dyDescent="0.25">
      <c r="A35" s="329">
        <v>5</v>
      </c>
      <c r="B35" s="630" t="s">
        <v>612</v>
      </c>
      <c r="C35" s="264" t="s">
        <v>146</v>
      </c>
      <c r="D35" s="631">
        <v>3</v>
      </c>
      <c r="E35" s="631">
        <f>10*C5</f>
        <v>45.018999999999998</v>
      </c>
      <c r="F35" s="632">
        <f t="shared" si="1"/>
        <v>135.05699999999999</v>
      </c>
      <c r="G35" s="440">
        <f>F35/C5</f>
        <v>29.999999999999996</v>
      </c>
    </row>
    <row r="36" spans="1:12" x14ac:dyDescent="0.25">
      <c r="A36" s="633">
        <v>6</v>
      </c>
      <c r="B36" s="229" t="s">
        <v>613</v>
      </c>
      <c r="C36" s="229" t="s">
        <v>146</v>
      </c>
      <c r="D36" s="286">
        <v>3</v>
      </c>
      <c r="E36" s="286">
        <f>110*C5</f>
        <v>495.209</v>
      </c>
      <c r="F36" s="632">
        <f t="shared" si="1"/>
        <v>1485.627</v>
      </c>
      <c r="G36" s="440">
        <f>F36/C5</f>
        <v>330</v>
      </c>
    </row>
    <row r="37" spans="1:12" x14ac:dyDescent="0.25">
      <c r="A37" s="633">
        <v>7</v>
      </c>
      <c r="B37" s="229" t="s">
        <v>614</v>
      </c>
      <c r="C37" s="229" t="s">
        <v>370</v>
      </c>
      <c r="D37" s="286">
        <v>26</v>
      </c>
      <c r="E37" s="286">
        <f>8*C5</f>
        <v>36.0152</v>
      </c>
      <c r="F37" s="632">
        <f t="shared" si="1"/>
        <v>936.39520000000005</v>
      </c>
      <c r="G37" s="440">
        <f>F37/C5</f>
        <v>208</v>
      </c>
    </row>
    <row r="38" spans="1:12" ht="30" x14ac:dyDescent="0.25">
      <c r="A38" s="633">
        <v>8</v>
      </c>
      <c r="B38" s="532" t="s">
        <v>615</v>
      </c>
      <c r="C38" s="229" t="s">
        <v>254</v>
      </c>
      <c r="D38" s="286">
        <v>26</v>
      </c>
      <c r="E38" s="286">
        <f>10*C5</f>
        <v>45.018999999999998</v>
      </c>
      <c r="F38" s="632">
        <f t="shared" si="1"/>
        <v>1170.4939999999999</v>
      </c>
      <c r="G38" s="440">
        <f>F38/C5</f>
        <v>260</v>
      </c>
    </row>
    <row r="39" spans="1:12" x14ac:dyDescent="0.25">
      <c r="A39" s="633">
        <v>9</v>
      </c>
      <c r="B39" s="229" t="s">
        <v>616</v>
      </c>
      <c r="C39" s="229" t="s">
        <v>243</v>
      </c>
      <c r="D39" s="286">
        <v>82.8</v>
      </c>
      <c r="E39" s="286">
        <f>1*C5</f>
        <v>4.5019</v>
      </c>
      <c r="F39" s="632">
        <f t="shared" si="1"/>
        <v>372.75731999999999</v>
      </c>
      <c r="G39" s="441">
        <f>F39/C5</f>
        <v>82.8</v>
      </c>
    </row>
    <row r="40" spans="1:12" x14ac:dyDescent="0.25">
      <c r="A40" s="419"/>
      <c r="B40" s="389" t="s">
        <v>382</v>
      </c>
      <c r="C40" s="438"/>
      <c r="D40" s="412"/>
      <c r="E40" s="412"/>
      <c r="F40" s="391">
        <f>SUM(F31:G39)</f>
        <v>5721.9759999999997</v>
      </c>
      <c r="G40" s="626"/>
    </row>
    <row r="41" spans="1:12" ht="15" customHeight="1" x14ac:dyDescent="0.25">
      <c r="A41" s="737" t="s">
        <v>115</v>
      </c>
      <c r="B41" s="738"/>
      <c r="C41" s="738"/>
      <c r="D41" s="738"/>
      <c r="E41" s="738"/>
      <c r="F41" s="738"/>
      <c r="G41" s="739"/>
    </row>
    <row r="42" spans="1:12" ht="15" customHeight="1" x14ac:dyDescent="0.25">
      <c r="A42" s="60">
        <v>10</v>
      </c>
      <c r="B42" s="40" t="s">
        <v>116</v>
      </c>
      <c r="C42" s="60" t="s">
        <v>43</v>
      </c>
      <c r="D42" s="60">
        <v>13</v>
      </c>
      <c r="E42" s="42">
        <v>76</v>
      </c>
      <c r="F42" s="61">
        <f>D42*E42</f>
        <v>988</v>
      </c>
      <c r="G42" s="61">
        <f>F42/Dotari!C5</f>
        <v>219.4628934449899</v>
      </c>
      <c r="L42" s="642">
        <f>F17+F27+F40</f>
        <v>49433.174050000001</v>
      </c>
    </row>
    <row r="43" spans="1:12" ht="15" customHeight="1" x14ac:dyDescent="0.25">
      <c r="A43" s="32">
        <v>11</v>
      </c>
      <c r="B43" s="33" t="s">
        <v>117</v>
      </c>
      <c r="C43" s="33" t="s">
        <v>43</v>
      </c>
      <c r="D43" s="34">
        <v>3</v>
      </c>
      <c r="E43" s="35">
        <v>625</v>
      </c>
      <c r="F43" s="35">
        <f>D43*E43</f>
        <v>1875</v>
      </c>
      <c r="G43" s="35">
        <f>F43/Dotari!C5</f>
        <v>416.49081498922675</v>
      </c>
    </row>
    <row r="44" spans="1:12" x14ac:dyDescent="0.25">
      <c r="A44" s="517">
        <v>12</v>
      </c>
      <c r="B44" s="518" t="s">
        <v>118</v>
      </c>
      <c r="C44" s="519" t="s">
        <v>43</v>
      </c>
      <c r="D44" s="520">
        <v>1</v>
      </c>
      <c r="E44" s="521">
        <v>855</v>
      </c>
      <c r="F44" s="521">
        <f>D44*E44</f>
        <v>855</v>
      </c>
      <c r="G44" s="62">
        <f>F44/Dotari!C5</f>
        <v>189.9198116350874</v>
      </c>
    </row>
    <row r="45" spans="1:12" x14ac:dyDescent="0.25">
      <c r="A45" s="619"/>
      <c r="B45" s="763" t="s">
        <v>382</v>
      </c>
      <c r="C45" s="764"/>
      <c r="D45" s="764"/>
      <c r="E45" s="765"/>
      <c r="F45" s="625">
        <f>SUM(F42:F44)</f>
        <v>3718</v>
      </c>
      <c r="G45" s="500">
        <f>SUM(G42:G44)</f>
        <v>825.87352006930405</v>
      </c>
    </row>
    <row r="46" spans="1:12" x14ac:dyDescent="0.25">
      <c r="A46" s="68"/>
      <c r="B46" s="133"/>
      <c r="C46" s="68"/>
      <c r="D46" s="68"/>
      <c r="E46" s="68"/>
      <c r="F46" s="290"/>
      <c r="G46" s="290"/>
    </row>
    <row r="47" spans="1:12" x14ac:dyDescent="0.25">
      <c r="B47" s="136" t="s">
        <v>554</v>
      </c>
      <c r="C47" s="29"/>
    </row>
    <row r="48" spans="1:12" x14ac:dyDescent="0.25">
      <c r="B48" s="137" t="s">
        <v>195</v>
      </c>
      <c r="C48" s="29"/>
    </row>
    <row r="50" spans="1:4" x14ac:dyDescent="0.25">
      <c r="A50" s="368"/>
      <c r="B50" s="246"/>
      <c r="C50" s="250"/>
      <c r="D50" s="369"/>
    </row>
  </sheetData>
  <mergeCells count="3">
    <mergeCell ref="A3:D3"/>
    <mergeCell ref="A41:G41"/>
    <mergeCell ref="B45:E45"/>
  </mergeCell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5" zoomScaleNormal="100" workbookViewId="0">
      <selection activeCell="F73" sqref="A1:F73"/>
    </sheetView>
  </sheetViews>
  <sheetFormatPr defaultRowHeight="15" x14ac:dyDescent="0.25"/>
  <cols>
    <col min="1" max="1" width="6.7109375" customWidth="1"/>
    <col min="2" max="2" width="40.5703125" customWidth="1"/>
    <col min="3" max="4" width="9.5703125" customWidth="1"/>
    <col min="5" max="5" width="8.28515625" customWidth="1"/>
    <col min="6" max="6" width="11.85546875" customWidth="1"/>
    <col min="7" max="7" width="11.85546875" hidden="1" customWidth="1"/>
    <col min="257" max="257" width="6.7109375" customWidth="1"/>
    <col min="258" max="258" width="40.5703125" customWidth="1"/>
    <col min="259" max="259" width="5.140625" customWidth="1"/>
    <col min="260" max="260" width="9.5703125" customWidth="1"/>
    <col min="261" max="261" width="8.28515625" customWidth="1"/>
    <col min="262" max="262" width="11.85546875" customWidth="1"/>
    <col min="513" max="513" width="6.7109375" customWidth="1"/>
    <col min="514" max="514" width="40.5703125" customWidth="1"/>
    <col min="515" max="515" width="5.140625" customWidth="1"/>
    <col min="516" max="516" width="9.5703125" customWidth="1"/>
    <col min="517" max="517" width="8.28515625" customWidth="1"/>
    <col min="518" max="518" width="11.85546875" customWidth="1"/>
    <col min="769" max="769" width="6.7109375" customWidth="1"/>
    <col min="770" max="770" width="40.5703125" customWidth="1"/>
    <col min="771" max="771" width="5.140625" customWidth="1"/>
    <col min="772" max="772" width="9.5703125" customWidth="1"/>
    <col min="773" max="773" width="8.28515625" customWidth="1"/>
    <col min="774" max="774" width="11.85546875" customWidth="1"/>
    <col min="1025" max="1025" width="6.7109375" customWidth="1"/>
    <col min="1026" max="1026" width="40.5703125" customWidth="1"/>
    <col min="1027" max="1027" width="5.140625" customWidth="1"/>
    <col min="1028" max="1028" width="9.5703125" customWidth="1"/>
    <col min="1029" max="1029" width="8.28515625" customWidth="1"/>
    <col min="1030" max="1030" width="11.85546875" customWidth="1"/>
    <col min="1281" max="1281" width="6.7109375" customWidth="1"/>
    <col min="1282" max="1282" width="40.5703125" customWidth="1"/>
    <col min="1283" max="1283" width="5.140625" customWidth="1"/>
    <col min="1284" max="1284" width="9.5703125" customWidth="1"/>
    <col min="1285" max="1285" width="8.28515625" customWidth="1"/>
    <col min="1286" max="1286" width="11.85546875" customWidth="1"/>
    <col min="1537" max="1537" width="6.7109375" customWidth="1"/>
    <col min="1538" max="1538" width="40.5703125" customWidth="1"/>
    <col min="1539" max="1539" width="5.140625" customWidth="1"/>
    <col min="1540" max="1540" width="9.5703125" customWidth="1"/>
    <col min="1541" max="1541" width="8.28515625" customWidth="1"/>
    <col min="1542" max="1542" width="11.85546875" customWidth="1"/>
    <col min="1793" max="1793" width="6.7109375" customWidth="1"/>
    <col min="1794" max="1794" width="40.5703125" customWidth="1"/>
    <col min="1795" max="1795" width="5.140625" customWidth="1"/>
    <col min="1796" max="1796" width="9.5703125" customWidth="1"/>
    <col min="1797" max="1797" width="8.28515625" customWidth="1"/>
    <col min="1798" max="1798" width="11.85546875" customWidth="1"/>
    <col min="2049" max="2049" width="6.7109375" customWidth="1"/>
    <col min="2050" max="2050" width="40.5703125" customWidth="1"/>
    <col min="2051" max="2051" width="5.140625" customWidth="1"/>
    <col min="2052" max="2052" width="9.5703125" customWidth="1"/>
    <col min="2053" max="2053" width="8.28515625" customWidth="1"/>
    <col min="2054" max="2054" width="11.85546875" customWidth="1"/>
    <col min="2305" max="2305" width="6.7109375" customWidth="1"/>
    <col min="2306" max="2306" width="40.5703125" customWidth="1"/>
    <col min="2307" max="2307" width="5.140625" customWidth="1"/>
    <col min="2308" max="2308" width="9.5703125" customWidth="1"/>
    <col min="2309" max="2309" width="8.28515625" customWidth="1"/>
    <col min="2310" max="2310" width="11.85546875" customWidth="1"/>
    <col min="2561" max="2561" width="6.7109375" customWidth="1"/>
    <col min="2562" max="2562" width="40.5703125" customWidth="1"/>
    <col min="2563" max="2563" width="5.140625" customWidth="1"/>
    <col min="2564" max="2564" width="9.5703125" customWidth="1"/>
    <col min="2565" max="2565" width="8.28515625" customWidth="1"/>
    <col min="2566" max="2566" width="11.85546875" customWidth="1"/>
    <col min="2817" max="2817" width="6.7109375" customWidth="1"/>
    <col min="2818" max="2818" width="40.5703125" customWidth="1"/>
    <col min="2819" max="2819" width="5.140625" customWidth="1"/>
    <col min="2820" max="2820" width="9.5703125" customWidth="1"/>
    <col min="2821" max="2821" width="8.28515625" customWidth="1"/>
    <col min="2822" max="2822" width="11.85546875" customWidth="1"/>
    <col min="3073" max="3073" width="6.7109375" customWidth="1"/>
    <col min="3074" max="3074" width="40.5703125" customWidth="1"/>
    <col min="3075" max="3075" width="5.140625" customWidth="1"/>
    <col min="3076" max="3076" width="9.5703125" customWidth="1"/>
    <col min="3077" max="3077" width="8.28515625" customWidth="1"/>
    <col min="3078" max="3078" width="11.85546875" customWidth="1"/>
    <col min="3329" max="3329" width="6.7109375" customWidth="1"/>
    <col min="3330" max="3330" width="40.5703125" customWidth="1"/>
    <col min="3331" max="3331" width="5.140625" customWidth="1"/>
    <col min="3332" max="3332" width="9.5703125" customWidth="1"/>
    <col min="3333" max="3333" width="8.28515625" customWidth="1"/>
    <col min="3334" max="3334" width="11.85546875" customWidth="1"/>
    <col min="3585" max="3585" width="6.7109375" customWidth="1"/>
    <col min="3586" max="3586" width="40.5703125" customWidth="1"/>
    <col min="3587" max="3587" width="5.140625" customWidth="1"/>
    <col min="3588" max="3588" width="9.5703125" customWidth="1"/>
    <col min="3589" max="3589" width="8.28515625" customWidth="1"/>
    <col min="3590" max="3590" width="11.85546875" customWidth="1"/>
    <col min="3841" max="3841" width="6.7109375" customWidth="1"/>
    <col min="3842" max="3842" width="40.5703125" customWidth="1"/>
    <col min="3843" max="3843" width="5.140625" customWidth="1"/>
    <col min="3844" max="3844" width="9.5703125" customWidth="1"/>
    <col min="3845" max="3845" width="8.28515625" customWidth="1"/>
    <col min="3846" max="3846" width="11.85546875" customWidth="1"/>
    <col min="4097" max="4097" width="6.7109375" customWidth="1"/>
    <col min="4098" max="4098" width="40.5703125" customWidth="1"/>
    <col min="4099" max="4099" width="5.140625" customWidth="1"/>
    <col min="4100" max="4100" width="9.5703125" customWidth="1"/>
    <col min="4101" max="4101" width="8.28515625" customWidth="1"/>
    <col min="4102" max="4102" width="11.85546875" customWidth="1"/>
    <col min="4353" max="4353" width="6.7109375" customWidth="1"/>
    <col min="4354" max="4354" width="40.5703125" customWidth="1"/>
    <col min="4355" max="4355" width="5.140625" customWidth="1"/>
    <col min="4356" max="4356" width="9.5703125" customWidth="1"/>
    <col min="4357" max="4357" width="8.28515625" customWidth="1"/>
    <col min="4358" max="4358" width="11.85546875" customWidth="1"/>
    <col min="4609" max="4609" width="6.7109375" customWidth="1"/>
    <col min="4610" max="4610" width="40.5703125" customWidth="1"/>
    <col min="4611" max="4611" width="5.140625" customWidth="1"/>
    <col min="4612" max="4612" width="9.5703125" customWidth="1"/>
    <col min="4613" max="4613" width="8.28515625" customWidth="1"/>
    <col min="4614" max="4614" width="11.85546875" customWidth="1"/>
    <col min="4865" max="4865" width="6.7109375" customWidth="1"/>
    <col min="4866" max="4866" width="40.5703125" customWidth="1"/>
    <col min="4867" max="4867" width="5.140625" customWidth="1"/>
    <col min="4868" max="4868" width="9.5703125" customWidth="1"/>
    <col min="4869" max="4869" width="8.28515625" customWidth="1"/>
    <col min="4870" max="4870" width="11.85546875" customWidth="1"/>
    <col min="5121" max="5121" width="6.7109375" customWidth="1"/>
    <col min="5122" max="5122" width="40.5703125" customWidth="1"/>
    <col min="5123" max="5123" width="5.140625" customWidth="1"/>
    <col min="5124" max="5124" width="9.5703125" customWidth="1"/>
    <col min="5125" max="5125" width="8.28515625" customWidth="1"/>
    <col min="5126" max="5126" width="11.85546875" customWidth="1"/>
    <col min="5377" max="5377" width="6.7109375" customWidth="1"/>
    <col min="5378" max="5378" width="40.5703125" customWidth="1"/>
    <col min="5379" max="5379" width="5.140625" customWidth="1"/>
    <col min="5380" max="5380" width="9.5703125" customWidth="1"/>
    <col min="5381" max="5381" width="8.28515625" customWidth="1"/>
    <col min="5382" max="5382" width="11.85546875" customWidth="1"/>
    <col min="5633" max="5633" width="6.7109375" customWidth="1"/>
    <col min="5634" max="5634" width="40.5703125" customWidth="1"/>
    <col min="5635" max="5635" width="5.140625" customWidth="1"/>
    <col min="5636" max="5636" width="9.5703125" customWidth="1"/>
    <col min="5637" max="5637" width="8.28515625" customWidth="1"/>
    <col min="5638" max="5638" width="11.85546875" customWidth="1"/>
    <col min="5889" max="5889" width="6.7109375" customWidth="1"/>
    <col min="5890" max="5890" width="40.5703125" customWidth="1"/>
    <col min="5891" max="5891" width="5.140625" customWidth="1"/>
    <col min="5892" max="5892" width="9.5703125" customWidth="1"/>
    <col min="5893" max="5893" width="8.28515625" customWidth="1"/>
    <col min="5894" max="5894" width="11.85546875" customWidth="1"/>
    <col min="6145" max="6145" width="6.7109375" customWidth="1"/>
    <col min="6146" max="6146" width="40.5703125" customWidth="1"/>
    <col min="6147" max="6147" width="5.140625" customWidth="1"/>
    <col min="6148" max="6148" width="9.5703125" customWidth="1"/>
    <col min="6149" max="6149" width="8.28515625" customWidth="1"/>
    <col min="6150" max="6150" width="11.85546875" customWidth="1"/>
    <col min="6401" max="6401" width="6.7109375" customWidth="1"/>
    <col min="6402" max="6402" width="40.5703125" customWidth="1"/>
    <col min="6403" max="6403" width="5.140625" customWidth="1"/>
    <col min="6404" max="6404" width="9.5703125" customWidth="1"/>
    <col min="6405" max="6405" width="8.28515625" customWidth="1"/>
    <col min="6406" max="6406" width="11.85546875" customWidth="1"/>
    <col min="6657" max="6657" width="6.7109375" customWidth="1"/>
    <col min="6658" max="6658" width="40.5703125" customWidth="1"/>
    <col min="6659" max="6659" width="5.140625" customWidth="1"/>
    <col min="6660" max="6660" width="9.5703125" customWidth="1"/>
    <col min="6661" max="6661" width="8.28515625" customWidth="1"/>
    <col min="6662" max="6662" width="11.85546875" customWidth="1"/>
    <col min="6913" max="6913" width="6.7109375" customWidth="1"/>
    <col min="6914" max="6914" width="40.5703125" customWidth="1"/>
    <col min="6915" max="6915" width="5.140625" customWidth="1"/>
    <col min="6916" max="6916" width="9.5703125" customWidth="1"/>
    <col min="6917" max="6917" width="8.28515625" customWidth="1"/>
    <col min="6918" max="6918" width="11.85546875" customWidth="1"/>
    <col min="7169" max="7169" width="6.7109375" customWidth="1"/>
    <col min="7170" max="7170" width="40.5703125" customWidth="1"/>
    <col min="7171" max="7171" width="5.140625" customWidth="1"/>
    <col min="7172" max="7172" width="9.5703125" customWidth="1"/>
    <col min="7173" max="7173" width="8.28515625" customWidth="1"/>
    <col min="7174" max="7174" width="11.85546875" customWidth="1"/>
    <col min="7425" max="7425" width="6.7109375" customWidth="1"/>
    <col min="7426" max="7426" width="40.5703125" customWidth="1"/>
    <col min="7427" max="7427" width="5.140625" customWidth="1"/>
    <col min="7428" max="7428" width="9.5703125" customWidth="1"/>
    <col min="7429" max="7429" width="8.28515625" customWidth="1"/>
    <col min="7430" max="7430" width="11.85546875" customWidth="1"/>
    <col min="7681" max="7681" width="6.7109375" customWidth="1"/>
    <col min="7682" max="7682" width="40.5703125" customWidth="1"/>
    <col min="7683" max="7683" width="5.140625" customWidth="1"/>
    <col min="7684" max="7684" width="9.5703125" customWidth="1"/>
    <col min="7685" max="7685" width="8.28515625" customWidth="1"/>
    <col min="7686" max="7686" width="11.85546875" customWidth="1"/>
    <col min="7937" max="7937" width="6.7109375" customWidth="1"/>
    <col min="7938" max="7938" width="40.5703125" customWidth="1"/>
    <col min="7939" max="7939" width="5.140625" customWidth="1"/>
    <col min="7940" max="7940" width="9.5703125" customWidth="1"/>
    <col min="7941" max="7941" width="8.28515625" customWidth="1"/>
    <col min="7942" max="7942" width="11.85546875" customWidth="1"/>
    <col min="8193" max="8193" width="6.7109375" customWidth="1"/>
    <col min="8194" max="8194" width="40.5703125" customWidth="1"/>
    <col min="8195" max="8195" width="5.140625" customWidth="1"/>
    <col min="8196" max="8196" width="9.5703125" customWidth="1"/>
    <col min="8197" max="8197" width="8.28515625" customWidth="1"/>
    <col min="8198" max="8198" width="11.85546875" customWidth="1"/>
    <col min="8449" max="8449" width="6.7109375" customWidth="1"/>
    <col min="8450" max="8450" width="40.5703125" customWidth="1"/>
    <col min="8451" max="8451" width="5.140625" customWidth="1"/>
    <col min="8452" max="8452" width="9.5703125" customWidth="1"/>
    <col min="8453" max="8453" width="8.28515625" customWidth="1"/>
    <col min="8454" max="8454" width="11.85546875" customWidth="1"/>
    <col min="8705" max="8705" width="6.7109375" customWidth="1"/>
    <col min="8706" max="8706" width="40.5703125" customWidth="1"/>
    <col min="8707" max="8707" width="5.140625" customWidth="1"/>
    <col min="8708" max="8708" width="9.5703125" customWidth="1"/>
    <col min="8709" max="8709" width="8.28515625" customWidth="1"/>
    <col min="8710" max="8710" width="11.85546875" customWidth="1"/>
    <col min="8961" max="8961" width="6.7109375" customWidth="1"/>
    <col min="8962" max="8962" width="40.5703125" customWidth="1"/>
    <col min="8963" max="8963" width="5.140625" customWidth="1"/>
    <col min="8964" max="8964" width="9.5703125" customWidth="1"/>
    <col min="8965" max="8965" width="8.28515625" customWidth="1"/>
    <col min="8966" max="8966" width="11.85546875" customWidth="1"/>
    <col min="9217" max="9217" width="6.7109375" customWidth="1"/>
    <col min="9218" max="9218" width="40.5703125" customWidth="1"/>
    <col min="9219" max="9219" width="5.140625" customWidth="1"/>
    <col min="9220" max="9220" width="9.5703125" customWidth="1"/>
    <col min="9221" max="9221" width="8.28515625" customWidth="1"/>
    <col min="9222" max="9222" width="11.85546875" customWidth="1"/>
    <col min="9473" max="9473" width="6.7109375" customWidth="1"/>
    <col min="9474" max="9474" width="40.5703125" customWidth="1"/>
    <col min="9475" max="9475" width="5.140625" customWidth="1"/>
    <col min="9476" max="9476" width="9.5703125" customWidth="1"/>
    <col min="9477" max="9477" width="8.28515625" customWidth="1"/>
    <col min="9478" max="9478" width="11.85546875" customWidth="1"/>
    <col min="9729" max="9729" width="6.7109375" customWidth="1"/>
    <col min="9730" max="9730" width="40.5703125" customWidth="1"/>
    <col min="9731" max="9731" width="5.140625" customWidth="1"/>
    <col min="9732" max="9732" width="9.5703125" customWidth="1"/>
    <col min="9733" max="9733" width="8.28515625" customWidth="1"/>
    <col min="9734" max="9734" width="11.85546875" customWidth="1"/>
    <col min="9985" max="9985" width="6.7109375" customWidth="1"/>
    <col min="9986" max="9986" width="40.5703125" customWidth="1"/>
    <col min="9987" max="9987" width="5.140625" customWidth="1"/>
    <col min="9988" max="9988" width="9.5703125" customWidth="1"/>
    <col min="9989" max="9989" width="8.28515625" customWidth="1"/>
    <col min="9990" max="9990" width="11.85546875" customWidth="1"/>
    <col min="10241" max="10241" width="6.7109375" customWidth="1"/>
    <col min="10242" max="10242" width="40.5703125" customWidth="1"/>
    <col min="10243" max="10243" width="5.140625" customWidth="1"/>
    <col min="10244" max="10244" width="9.5703125" customWidth="1"/>
    <col min="10245" max="10245" width="8.28515625" customWidth="1"/>
    <col min="10246" max="10246" width="11.85546875" customWidth="1"/>
    <col min="10497" max="10497" width="6.7109375" customWidth="1"/>
    <col min="10498" max="10498" width="40.5703125" customWidth="1"/>
    <col min="10499" max="10499" width="5.140625" customWidth="1"/>
    <col min="10500" max="10500" width="9.5703125" customWidth="1"/>
    <col min="10501" max="10501" width="8.28515625" customWidth="1"/>
    <col min="10502" max="10502" width="11.85546875" customWidth="1"/>
    <col min="10753" max="10753" width="6.7109375" customWidth="1"/>
    <col min="10754" max="10754" width="40.5703125" customWidth="1"/>
    <col min="10755" max="10755" width="5.140625" customWidth="1"/>
    <col min="10756" max="10756" width="9.5703125" customWidth="1"/>
    <col min="10757" max="10757" width="8.28515625" customWidth="1"/>
    <col min="10758" max="10758" width="11.85546875" customWidth="1"/>
    <col min="11009" max="11009" width="6.7109375" customWidth="1"/>
    <col min="11010" max="11010" width="40.5703125" customWidth="1"/>
    <col min="11011" max="11011" width="5.140625" customWidth="1"/>
    <col min="11012" max="11012" width="9.5703125" customWidth="1"/>
    <col min="11013" max="11013" width="8.28515625" customWidth="1"/>
    <col min="11014" max="11014" width="11.85546875" customWidth="1"/>
    <col min="11265" max="11265" width="6.7109375" customWidth="1"/>
    <col min="11266" max="11266" width="40.5703125" customWidth="1"/>
    <col min="11267" max="11267" width="5.140625" customWidth="1"/>
    <col min="11268" max="11268" width="9.5703125" customWidth="1"/>
    <col min="11269" max="11269" width="8.28515625" customWidth="1"/>
    <col min="11270" max="11270" width="11.85546875" customWidth="1"/>
    <col min="11521" max="11521" width="6.7109375" customWidth="1"/>
    <col min="11522" max="11522" width="40.5703125" customWidth="1"/>
    <col min="11523" max="11523" width="5.140625" customWidth="1"/>
    <col min="11524" max="11524" width="9.5703125" customWidth="1"/>
    <col min="11525" max="11525" width="8.28515625" customWidth="1"/>
    <col min="11526" max="11526" width="11.85546875" customWidth="1"/>
    <col min="11777" max="11777" width="6.7109375" customWidth="1"/>
    <col min="11778" max="11778" width="40.5703125" customWidth="1"/>
    <col min="11779" max="11779" width="5.140625" customWidth="1"/>
    <col min="11780" max="11780" width="9.5703125" customWidth="1"/>
    <col min="11781" max="11781" width="8.28515625" customWidth="1"/>
    <col min="11782" max="11782" width="11.85546875" customWidth="1"/>
    <col min="12033" max="12033" width="6.7109375" customWidth="1"/>
    <col min="12034" max="12034" width="40.5703125" customWidth="1"/>
    <col min="12035" max="12035" width="5.140625" customWidth="1"/>
    <col min="12036" max="12036" width="9.5703125" customWidth="1"/>
    <col min="12037" max="12037" width="8.28515625" customWidth="1"/>
    <col min="12038" max="12038" width="11.85546875" customWidth="1"/>
    <col min="12289" max="12289" width="6.7109375" customWidth="1"/>
    <col min="12290" max="12290" width="40.5703125" customWidth="1"/>
    <col min="12291" max="12291" width="5.140625" customWidth="1"/>
    <col min="12292" max="12292" width="9.5703125" customWidth="1"/>
    <col min="12293" max="12293" width="8.28515625" customWidth="1"/>
    <col min="12294" max="12294" width="11.85546875" customWidth="1"/>
    <col min="12545" max="12545" width="6.7109375" customWidth="1"/>
    <col min="12546" max="12546" width="40.5703125" customWidth="1"/>
    <col min="12547" max="12547" width="5.140625" customWidth="1"/>
    <col min="12548" max="12548" width="9.5703125" customWidth="1"/>
    <col min="12549" max="12549" width="8.28515625" customWidth="1"/>
    <col min="12550" max="12550" width="11.85546875" customWidth="1"/>
    <col min="12801" max="12801" width="6.7109375" customWidth="1"/>
    <col min="12802" max="12802" width="40.5703125" customWidth="1"/>
    <col min="12803" max="12803" width="5.140625" customWidth="1"/>
    <col min="12804" max="12804" width="9.5703125" customWidth="1"/>
    <col min="12805" max="12805" width="8.28515625" customWidth="1"/>
    <col min="12806" max="12806" width="11.85546875" customWidth="1"/>
    <col min="13057" max="13057" width="6.7109375" customWidth="1"/>
    <col min="13058" max="13058" width="40.5703125" customWidth="1"/>
    <col min="13059" max="13059" width="5.140625" customWidth="1"/>
    <col min="13060" max="13060" width="9.5703125" customWidth="1"/>
    <col min="13061" max="13061" width="8.28515625" customWidth="1"/>
    <col min="13062" max="13062" width="11.85546875" customWidth="1"/>
    <col min="13313" max="13313" width="6.7109375" customWidth="1"/>
    <col min="13314" max="13314" width="40.5703125" customWidth="1"/>
    <col min="13315" max="13315" width="5.140625" customWidth="1"/>
    <col min="13316" max="13316" width="9.5703125" customWidth="1"/>
    <col min="13317" max="13317" width="8.28515625" customWidth="1"/>
    <col min="13318" max="13318" width="11.85546875" customWidth="1"/>
    <col min="13569" max="13569" width="6.7109375" customWidth="1"/>
    <col min="13570" max="13570" width="40.5703125" customWidth="1"/>
    <col min="13571" max="13571" width="5.140625" customWidth="1"/>
    <col min="13572" max="13572" width="9.5703125" customWidth="1"/>
    <col min="13573" max="13573" width="8.28515625" customWidth="1"/>
    <col min="13574" max="13574" width="11.85546875" customWidth="1"/>
    <col min="13825" max="13825" width="6.7109375" customWidth="1"/>
    <col min="13826" max="13826" width="40.5703125" customWidth="1"/>
    <col min="13827" max="13827" width="5.140625" customWidth="1"/>
    <col min="13828" max="13828" width="9.5703125" customWidth="1"/>
    <col min="13829" max="13829" width="8.28515625" customWidth="1"/>
    <col min="13830" max="13830" width="11.85546875" customWidth="1"/>
    <col min="14081" max="14081" width="6.7109375" customWidth="1"/>
    <col min="14082" max="14082" width="40.5703125" customWidth="1"/>
    <col min="14083" max="14083" width="5.140625" customWidth="1"/>
    <col min="14084" max="14084" width="9.5703125" customWidth="1"/>
    <col min="14085" max="14085" width="8.28515625" customWidth="1"/>
    <col min="14086" max="14086" width="11.85546875" customWidth="1"/>
    <col min="14337" max="14337" width="6.7109375" customWidth="1"/>
    <col min="14338" max="14338" width="40.5703125" customWidth="1"/>
    <col min="14339" max="14339" width="5.140625" customWidth="1"/>
    <col min="14340" max="14340" width="9.5703125" customWidth="1"/>
    <col min="14341" max="14341" width="8.28515625" customWidth="1"/>
    <col min="14342" max="14342" width="11.85546875" customWidth="1"/>
    <col min="14593" max="14593" width="6.7109375" customWidth="1"/>
    <col min="14594" max="14594" width="40.5703125" customWidth="1"/>
    <col min="14595" max="14595" width="5.140625" customWidth="1"/>
    <col min="14596" max="14596" width="9.5703125" customWidth="1"/>
    <col min="14597" max="14597" width="8.28515625" customWidth="1"/>
    <col min="14598" max="14598" width="11.85546875" customWidth="1"/>
    <col min="14849" max="14849" width="6.7109375" customWidth="1"/>
    <col min="14850" max="14850" width="40.5703125" customWidth="1"/>
    <col min="14851" max="14851" width="5.140625" customWidth="1"/>
    <col min="14852" max="14852" width="9.5703125" customWidth="1"/>
    <col min="14853" max="14853" width="8.28515625" customWidth="1"/>
    <col min="14854" max="14854" width="11.85546875" customWidth="1"/>
    <col min="15105" max="15105" width="6.7109375" customWidth="1"/>
    <col min="15106" max="15106" width="40.5703125" customWidth="1"/>
    <col min="15107" max="15107" width="5.140625" customWidth="1"/>
    <col min="15108" max="15108" width="9.5703125" customWidth="1"/>
    <col min="15109" max="15109" width="8.28515625" customWidth="1"/>
    <col min="15110" max="15110" width="11.85546875" customWidth="1"/>
    <col min="15361" max="15361" width="6.7109375" customWidth="1"/>
    <col min="15362" max="15362" width="40.5703125" customWidth="1"/>
    <col min="15363" max="15363" width="5.140625" customWidth="1"/>
    <col min="15364" max="15364" width="9.5703125" customWidth="1"/>
    <col min="15365" max="15365" width="8.28515625" customWidth="1"/>
    <col min="15366" max="15366" width="11.85546875" customWidth="1"/>
    <col min="15617" max="15617" width="6.7109375" customWidth="1"/>
    <col min="15618" max="15618" width="40.5703125" customWidth="1"/>
    <col min="15619" max="15619" width="5.140625" customWidth="1"/>
    <col min="15620" max="15620" width="9.5703125" customWidth="1"/>
    <col min="15621" max="15621" width="8.28515625" customWidth="1"/>
    <col min="15622" max="15622" width="11.85546875" customWidth="1"/>
    <col min="15873" max="15873" width="6.7109375" customWidth="1"/>
    <col min="15874" max="15874" width="40.5703125" customWidth="1"/>
    <col min="15875" max="15875" width="5.140625" customWidth="1"/>
    <col min="15876" max="15876" width="9.5703125" customWidth="1"/>
    <col min="15877" max="15877" width="8.28515625" customWidth="1"/>
    <col min="15878" max="15878" width="11.85546875" customWidth="1"/>
    <col min="16129" max="16129" width="6.7109375" customWidth="1"/>
    <col min="16130" max="16130" width="40.5703125" customWidth="1"/>
    <col min="16131" max="16131" width="5.140625" customWidth="1"/>
    <col min="16132" max="16132" width="9.5703125" customWidth="1"/>
    <col min="16133" max="16133" width="8.28515625" customWidth="1"/>
    <col min="16134" max="16134" width="11.85546875" customWidth="1"/>
  </cols>
  <sheetData>
    <row r="1" spans="1:7" ht="22.5" customHeight="1" x14ac:dyDescent="0.25">
      <c r="B1" s="140" t="s">
        <v>248</v>
      </c>
    </row>
    <row r="2" spans="1:7" x14ac:dyDescent="0.25">
      <c r="B2" s="140" t="s">
        <v>29</v>
      </c>
    </row>
    <row r="3" spans="1:7" ht="15.75" x14ac:dyDescent="0.25">
      <c r="B3" s="371"/>
      <c r="E3" s="29"/>
    </row>
    <row r="4" spans="1:7" ht="15.75" x14ac:dyDescent="0.25">
      <c r="A4" s="760" t="s">
        <v>520</v>
      </c>
      <c r="B4" s="760"/>
      <c r="C4" s="760"/>
      <c r="D4" s="760"/>
    </row>
    <row r="5" spans="1:7" ht="15.75" thickBot="1" x14ac:dyDescent="0.3">
      <c r="A5" s="749" t="s">
        <v>617</v>
      </c>
      <c r="B5" s="749"/>
      <c r="C5" s="749"/>
      <c r="D5" s="749"/>
    </row>
    <row r="6" spans="1:7" ht="16.5" hidden="1" thickBot="1" x14ac:dyDescent="0.3">
      <c r="A6" s="28"/>
      <c r="B6" s="547" t="s">
        <v>11</v>
      </c>
      <c r="C6" s="10">
        <v>4.5019</v>
      </c>
      <c r="D6" s="508" t="s">
        <v>10</v>
      </c>
      <c r="E6" s="508"/>
      <c r="F6" s="509" t="s">
        <v>671</v>
      </c>
      <c r="G6" s="509"/>
    </row>
    <row r="7" spans="1:7" ht="27" thickBot="1" x14ac:dyDescent="0.3">
      <c r="A7" s="78" t="s">
        <v>0</v>
      </c>
      <c r="B7" s="317" t="s">
        <v>198</v>
      </c>
      <c r="C7" s="317" t="s">
        <v>37</v>
      </c>
      <c r="D7" s="317" t="s">
        <v>199</v>
      </c>
      <c r="E7" s="317" t="s">
        <v>200</v>
      </c>
      <c r="F7" s="317" t="s">
        <v>682</v>
      </c>
      <c r="G7" s="317" t="s">
        <v>201</v>
      </c>
    </row>
    <row r="8" spans="1:7" ht="26.25" x14ac:dyDescent="0.25">
      <c r="A8" s="318">
        <v>3</v>
      </c>
      <c r="B8" s="319" t="s">
        <v>618</v>
      </c>
      <c r="C8" s="442"/>
      <c r="D8" s="443"/>
      <c r="E8" s="443"/>
      <c r="F8" s="323"/>
      <c r="G8" s="323"/>
    </row>
    <row r="9" spans="1:7" x14ac:dyDescent="0.25">
      <c r="A9" s="243">
        <v>3.1</v>
      </c>
      <c r="B9" s="444" t="s">
        <v>524</v>
      </c>
      <c r="C9" s="261" t="s">
        <v>254</v>
      </c>
      <c r="D9" s="262">
        <v>30</v>
      </c>
      <c r="E9" s="263">
        <f>50*C6</f>
        <v>225.095</v>
      </c>
      <c r="F9" s="263">
        <f t="shared" ref="F9:F14" si="0">D9*E9</f>
        <v>6752.85</v>
      </c>
      <c r="G9" s="263">
        <f>F9/C6</f>
        <v>1500</v>
      </c>
    </row>
    <row r="10" spans="1:7" x14ac:dyDescent="0.25">
      <c r="A10" s="243">
        <v>3.2</v>
      </c>
      <c r="B10" s="444" t="s">
        <v>619</v>
      </c>
      <c r="C10" s="261" t="s">
        <v>43</v>
      </c>
      <c r="D10" s="262">
        <v>1</v>
      </c>
      <c r="E10" s="263">
        <f>300*C6</f>
        <v>1350.57</v>
      </c>
      <c r="F10" s="263">
        <f t="shared" si="0"/>
        <v>1350.57</v>
      </c>
      <c r="G10" s="263">
        <f>F10/C6</f>
        <v>300</v>
      </c>
    </row>
    <row r="11" spans="1:7" x14ac:dyDescent="0.25">
      <c r="A11" s="243">
        <v>3.3</v>
      </c>
      <c r="B11" s="444" t="s">
        <v>620</v>
      </c>
      <c r="C11" s="261" t="s">
        <v>254</v>
      </c>
      <c r="D11" s="262">
        <v>10</v>
      </c>
      <c r="E11" s="263">
        <f>6*C6</f>
        <v>27.011400000000002</v>
      </c>
      <c r="F11" s="263">
        <f t="shared" si="0"/>
        <v>270.11400000000003</v>
      </c>
      <c r="G11" s="263">
        <f>F11/C6</f>
        <v>60.000000000000007</v>
      </c>
    </row>
    <row r="12" spans="1:7" x14ac:dyDescent="0.25">
      <c r="A12" s="243">
        <v>3.4</v>
      </c>
      <c r="B12" s="444" t="s">
        <v>173</v>
      </c>
      <c r="C12" s="261" t="s">
        <v>147</v>
      </c>
      <c r="D12" s="262">
        <v>25</v>
      </c>
      <c r="E12" s="263">
        <f>1.2*C6</f>
        <v>5.4022800000000002</v>
      </c>
      <c r="F12" s="263">
        <f t="shared" si="0"/>
        <v>135.05700000000002</v>
      </c>
      <c r="G12" s="263">
        <f>F12/C6</f>
        <v>30.000000000000004</v>
      </c>
    </row>
    <row r="13" spans="1:7" x14ac:dyDescent="0.25">
      <c r="A13" s="243">
        <v>3.5</v>
      </c>
      <c r="B13" s="444" t="s">
        <v>621</v>
      </c>
      <c r="C13" s="261" t="s">
        <v>243</v>
      </c>
      <c r="D13" s="262">
        <v>100</v>
      </c>
      <c r="E13" s="263">
        <f>1*C6</f>
        <v>4.5019</v>
      </c>
      <c r="F13" s="263">
        <f t="shared" si="0"/>
        <v>450.19</v>
      </c>
      <c r="G13" s="263">
        <f>F13/C6</f>
        <v>100</v>
      </c>
    </row>
    <row r="14" spans="1:7" x14ac:dyDescent="0.25">
      <c r="A14" s="243">
        <v>3.6</v>
      </c>
      <c r="B14" s="444" t="s">
        <v>24</v>
      </c>
      <c r="C14" s="261" t="s">
        <v>243</v>
      </c>
      <c r="D14" s="262">
        <v>110</v>
      </c>
      <c r="E14" s="263">
        <f>1*C6</f>
        <v>4.5019</v>
      </c>
      <c r="F14" s="263">
        <f t="shared" si="0"/>
        <v>495.209</v>
      </c>
      <c r="G14" s="263">
        <f>F14/C6</f>
        <v>110</v>
      </c>
    </row>
    <row r="15" spans="1:7" x14ac:dyDescent="0.25">
      <c r="A15" s="434"/>
      <c r="B15" s="389" t="s">
        <v>382</v>
      </c>
      <c r="C15" s="329"/>
      <c r="D15" s="265"/>
      <c r="E15" s="265"/>
      <c r="F15" s="331">
        <f>SUM(F9:F14)</f>
        <v>9453.9900000000016</v>
      </c>
      <c r="G15" s="331">
        <f>SUM(G9:G14)</f>
        <v>2100</v>
      </c>
    </row>
    <row r="16" spans="1:7" x14ac:dyDescent="0.25">
      <c r="A16" s="445"/>
      <c r="B16" s="446"/>
      <c r="C16" s="447"/>
      <c r="D16" s="448"/>
      <c r="E16" s="448"/>
      <c r="F16" s="449"/>
      <c r="G16" s="449"/>
    </row>
    <row r="17" spans="1:7" ht="11.25" customHeight="1" thickBot="1" x14ac:dyDescent="0.3">
      <c r="A17" s="450"/>
      <c r="B17" s="451"/>
      <c r="C17" s="452"/>
      <c r="D17" s="453"/>
      <c r="E17" s="453"/>
      <c r="F17" s="454"/>
      <c r="G17" s="454"/>
    </row>
    <row r="18" spans="1:7" ht="27" thickBot="1" x14ac:dyDescent="0.3">
      <c r="A18" s="78" t="s">
        <v>0</v>
      </c>
      <c r="B18" s="317" t="s">
        <v>198</v>
      </c>
      <c r="C18" s="317" t="s">
        <v>37</v>
      </c>
      <c r="D18" s="317" t="s">
        <v>199</v>
      </c>
      <c r="E18" s="317" t="s">
        <v>200</v>
      </c>
      <c r="F18" s="317" t="s">
        <v>682</v>
      </c>
      <c r="G18" s="317" t="s">
        <v>201</v>
      </c>
    </row>
    <row r="19" spans="1:7" x14ac:dyDescent="0.25">
      <c r="A19" s="83">
        <v>1.2</v>
      </c>
      <c r="B19" s="333" t="s">
        <v>622</v>
      </c>
      <c r="C19" s="324"/>
      <c r="D19" s="455"/>
      <c r="E19" s="327"/>
      <c r="F19" s="456"/>
      <c r="G19" s="456"/>
    </row>
    <row r="20" spans="1:7" x14ac:dyDescent="0.25">
      <c r="A20" s="243" t="s">
        <v>623</v>
      </c>
      <c r="B20" s="444" t="s">
        <v>624</v>
      </c>
      <c r="C20" s="324" t="s">
        <v>146</v>
      </c>
      <c r="D20" s="325">
        <v>0.25</v>
      </c>
      <c r="E20" s="327">
        <f>20*C6</f>
        <v>90.037999999999997</v>
      </c>
      <c r="F20" s="326">
        <f t="shared" ref="F20:F32" si="1">D20*E20</f>
        <v>22.509499999999999</v>
      </c>
      <c r="G20" s="326">
        <f>F20/C6</f>
        <v>5</v>
      </c>
    </row>
    <row r="21" spans="1:7" ht="57" x14ac:dyDescent="0.25">
      <c r="A21" s="243" t="s">
        <v>625</v>
      </c>
      <c r="B21" s="444" t="s">
        <v>206</v>
      </c>
      <c r="C21" s="324" t="s">
        <v>146</v>
      </c>
      <c r="D21" s="325">
        <v>16</v>
      </c>
      <c r="E21" s="327">
        <f>10*C6</f>
        <v>45.018999999999998</v>
      </c>
      <c r="F21" s="326">
        <f t="shared" si="1"/>
        <v>720.30399999999997</v>
      </c>
      <c r="G21" s="326">
        <f>F21/C6</f>
        <v>160</v>
      </c>
    </row>
    <row r="22" spans="1:7" ht="28.5" x14ac:dyDescent="0.25">
      <c r="A22" s="243" t="s">
        <v>626</v>
      </c>
      <c r="B22" s="444" t="s">
        <v>528</v>
      </c>
      <c r="C22" s="324" t="s">
        <v>146</v>
      </c>
      <c r="D22" s="325">
        <v>12</v>
      </c>
      <c r="E22" s="327">
        <f>4*C6</f>
        <v>18.0076</v>
      </c>
      <c r="F22" s="326">
        <f t="shared" si="1"/>
        <v>216.09120000000001</v>
      </c>
      <c r="G22" s="326">
        <f>F22/C6</f>
        <v>48</v>
      </c>
    </row>
    <row r="23" spans="1:7" x14ac:dyDescent="0.25">
      <c r="A23" s="243" t="s">
        <v>627</v>
      </c>
      <c r="B23" s="444" t="s">
        <v>538</v>
      </c>
      <c r="C23" s="324" t="s">
        <v>146</v>
      </c>
      <c r="D23" s="325">
        <v>4</v>
      </c>
      <c r="E23" s="327">
        <f>15*C6</f>
        <v>67.528499999999994</v>
      </c>
      <c r="F23" s="326">
        <f t="shared" si="1"/>
        <v>270.11399999999998</v>
      </c>
      <c r="G23" s="326">
        <f>F23/C6</f>
        <v>59.999999999999993</v>
      </c>
    </row>
    <row r="24" spans="1:7" x14ac:dyDescent="0.25">
      <c r="A24" s="243" t="s">
        <v>628</v>
      </c>
      <c r="B24" s="457" t="s">
        <v>629</v>
      </c>
      <c r="C24" s="458" t="s">
        <v>254</v>
      </c>
      <c r="D24" s="459">
        <v>20</v>
      </c>
      <c r="E24" s="337">
        <f>25*C6</f>
        <v>112.5475</v>
      </c>
      <c r="F24" s="326">
        <f t="shared" si="1"/>
        <v>2250.9499999999998</v>
      </c>
      <c r="G24" s="326">
        <f>F24/C6</f>
        <v>499.99999999999994</v>
      </c>
    </row>
    <row r="25" spans="1:7" ht="28.5" x14ac:dyDescent="0.25">
      <c r="A25" s="243" t="s">
        <v>630</v>
      </c>
      <c r="B25" s="457" t="s">
        <v>631</v>
      </c>
      <c r="C25" s="458" t="s">
        <v>43</v>
      </c>
      <c r="D25" s="325">
        <v>1</v>
      </c>
      <c r="E25" s="327">
        <f>300*C6</f>
        <v>1350.57</v>
      </c>
      <c r="F25" s="326">
        <f t="shared" si="1"/>
        <v>1350.57</v>
      </c>
      <c r="G25" s="326">
        <f>F25/C6</f>
        <v>300</v>
      </c>
    </row>
    <row r="26" spans="1:7" ht="28.5" x14ac:dyDescent="0.25">
      <c r="A26" s="243" t="s">
        <v>632</v>
      </c>
      <c r="B26" s="444" t="s">
        <v>633</v>
      </c>
      <c r="C26" s="458" t="s">
        <v>43</v>
      </c>
      <c r="D26" s="325">
        <v>1</v>
      </c>
      <c r="E26" s="327">
        <f>50*C6</f>
        <v>225.095</v>
      </c>
      <c r="F26" s="326">
        <f t="shared" si="1"/>
        <v>225.095</v>
      </c>
      <c r="G26" s="326">
        <f>F26/C6</f>
        <v>50</v>
      </c>
    </row>
    <row r="27" spans="1:7" x14ac:dyDescent="0.25">
      <c r="A27" s="243" t="s">
        <v>634</v>
      </c>
      <c r="B27" s="444" t="s">
        <v>635</v>
      </c>
      <c r="C27" s="458" t="s">
        <v>162</v>
      </c>
      <c r="D27" s="325">
        <v>7</v>
      </c>
      <c r="E27" s="327">
        <f>2*C6</f>
        <v>9.0038</v>
      </c>
      <c r="F27" s="326">
        <f t="shared" si="1"/>
        <v>63.026600000000002</v>
      </c>
      <c r="G27" s="326">
        <f>F27/C6</f>
        <v>14</v>
      </c>
    </row>
    <row r="28" spans="1:7" x14ac:dyDescent="0.25">
      <c r="A28" s="460" t="s">
        <v>636</v>
      </c>
      <c r="B28" s="444" t="s">
        <v>559</v>
      </c>
      <c r="C28" s="458" t="s">
        <v>162</v>
      </c>
      <c r="D28" s="325">
        <v>7</v>
      </c>
      <c r="E28" s="461">
        <f>1*C6</f>
        <v>4.5019</v>
      </c>
      <c r="F28" s="326">
        <f t="shared" si="1"/>
        <v>31.513300000000001</v>
      </c>
      <c r="G28" s="326">
        <f>F28/C6</f>
        <v>7</v>
      </c>
    </row>
    <row r="29" spans="1:7" x14ac:dyDescent="0.25">
      <c r="A29" s="460" t="s">
        <v>637</v>
      </c>
      <c r="B29" s="462" t="s">
        <v>621</v>
      </c>
      <c r="C29" s="463" t="s">
        <v>243</v>
      </c>
      <c r="D29" s="464">
        <v>50</v>
      </c>
      <c r="E29" s="465">
        <f>1*C6</f>
        <v>4.5019</v>
      </c>
      <c r="F29" s="466">
        <f t="shared" si="1"/>
        <v>225.095</v>
      </c>
      <c r="G29" s="326">
        <f>F29/C6</f>
        <v>50</v>
      </c>
    </row>
    <row r="30" spans="1:7" x14ac:dyDescent="0.25">
      <c r="A30" s="460" t="s">
        <v>638</v>
      </c>
      <c r="B30" s="462" t="s">
        <v>639</v>
      </c>
      <c r="C30" s="463" t="s">
        <v>47</v>
      </c>
      <c r="D30" s="464">
        <v>1</v>
      </c>
      <c r="E30" s="465">
        <f>150*C6</f>
        <v>675.28499999999997</v>
      </c>
      <c r="F30" s="466">
        <f t="shared" si="1"/>
        <v>675.28499999999997</v>
      </c>
      <c r="G30" s="326">
        <f>F30/C6</f>
        <v>150</v>
      </c>
    </row>
    <row r="31" spans="1:7" x14ac:dyDescent="0.25">
      <c r="A31" s="460" t="s">
        <v>640</v>
      </c>
      <c r="B31" s="462" t="s">
        <v>24</v>
      </c>
      <c r="C31" s="463" t="s">
        <v>243</v>
      </c>
      <c r="D31" s="464">
        <v>66</v>
      </c>
      <c r="E31" s="465">
        <f>1*C6</f>
        <v>4.5019</v>
      </c>
      <c r="F31" s="466">
        <f t="shared" si="1"/>
        <v>297.12540000000001</v>
      </c>
      <c r="G31" s="326">
        <f>F31/C6</f>
        <v>66</v>
      </c>
    </row>
    <row r="32" spans="1:7" x14ac:dyDescent="0.25">
      <c r="A32" s="460" t="s">
        <v>641</v>
      </c>
      <c r="B32" s="462" t="s">
        <v>642</v>
      </c>
      <c r="C32" s="463" t="s">
        <v>370</v>
      </c>
      <c r="D32" s="464">
        <v>8</v>
      </c>
      <c r="E32" s="465">
        <f>100*C6</f>
        <v>450.19</v>
      </c>
      <c r="F32" s="466">
        <f t="shared" si="1"/>
        <v>3601.52</v>
      </c>
      <c r="G32" s="326">
        <f>F32/C6</f>
        <v>800</v>
      </c>
    </row>
    <row r="33" spans="1:7" x14ac:dyDescent="0.25">
      <c r="A33" s="434"/>
      <c r="B33" s="389" t="s">
        <v>30</v>
      </c>
      <c r="C33" s="435"/>
      <c r="D33" s="265"/>
      <c r="E33" s="265"/>
      <c r="F33" s="331">
        <f>SUM(F20:F32)</f>
        <v>9949.1990000000005</v>
      </c>
      <c r="G33" s="331">
        <f>SUM(G20:G32)</f>
        <v>2210</v>
      </c>
    </row>
    <row r="34" spans="1:7" x14ac:dyDescent="0.25">
      <c r="A34" s="28"/>
      <c r="B34" s="28"/>
      <c r="C34" s="28"/>
      <c r="D34" s="28"/>
    </row>
    <row r="36" spans="1:7" ht="4.5" customHeight="1" thickBot="1" x14ac:dyDescent="0.3">
      <c r="A36" s="766"/>
      <c r="B36" s="766"/>
      <c r="C36" s="766"/>
      <c r="D36" s="766"/>
    </row>
    <row r="37" spans="1:7" ht="27" thickBot="1" x14ac:dyDescent="0.3">
      <c r="A37" s="78" t="s">
        <v>0</v>
      </c>
      <c r="B37" s="317" t="s">
        <v>198</v>
      </c>
      <c r="C37" s="317" t="s">
        <v>37</v>
      </c>
      <c r="D37" s="317" t="s">
        <v>199</v>
      </c>
      <c r="E37" s="317" t="s">
        <v>200</v>
      </c>
      <c r="F37" s="317" t="s">
        <v>682</v>
      </c>
      <c r="G37" s="317" t="s">
        <v>201</v>
      </c>
    </row>
    <row r="38" spans="1:7" x14ac:dyDescent="0.25">
      <c r="A38" s="467" t="s">
        <v>643</v>
      </c>
      <c r="B38" s="333" t="s">
        <v>644</v>
      </c>
      <c r="C38" s="458"/>
      <c r="D38" s="455"/>
      <c r="E38" s="327"/>
      <c r="F38" s="456"/>
      <c r="G38" s="456"/>
    </row>
    <row r="39" spans="1:7" ht="18" customHeight="1" x14ac:dyDescent="0.25">
      <c r="A39" s="243" t="s">
        <v>645</v>
      </c>
      <c r="B39" s="444" t="s">
        <v>624</v>
      </c>
      <c r="C39" s="324" t="s">
        <v>146</v>
      </c>
      <c r="D39" s="455">
        <v>0.3</v>
      </c>
      <c r="E39" s="327">
        <f>20*C6</f>
        <v>90.037999999999997</v>
      </c>
      <c r="F39" s="326">
        <f t="shared" ref="F39:F48" si="2">D39*E39</f>
        <v>27.011399999999998</v>
      </c>
      <c r="G39" s="326">
        <f>F39/C6</f>
        <v>6</v>
      </c>
    </row>
    <row r="40" spans="1:7" ht="57" x14ac:dyDescent="0.25">
      <c r="A40" s="243" t="s">
        <v>646</v>
      </c>
      <c r="B40" s="444" t="s">
        <v>206</v>
      </c>
      <c r="C40" s="324" t="s">
        <v>146</v>
      </c>
      <c r="D40" s="455">
        <v>20</v>
      </c>
      <c r="E40" s="327">
        <f>10*C6</f>
        <v>45.018999999999998</v>
      </c>
      <c r="F40" s="326">
        <f t="shared" si="2"/>
        <v>900.38</v>
      </c>
      <c r="G40" s="326">
        <f>F40/C6</f>
        <v>200</v>
      </c>
    </row>
    <row r="41" spans="1:7" ht="16.5" customHeight="1" x14ac:dyDescent="0.25">
      <c r="A41" s="243" t="s">
        <v>647</v>
      </c>
      <c r="B41" s="444" t="s">
        <v>528</v>
      </c>
      <c r="C41" s="324" t="s">
        <v>146</v>
      </c>
      <c r="D41" s="455">
        <v>14</v>
      </c>
      <c r="E41" s="327">
        <f>4*C6</f>
        <v>18.0076</v>
      </c>
      <c r="F41" s="326">
        <f t="shared" si="2"/>
        <v>252.10640000000001</v>
      </c>
      <c r="G41" s="326">
        <f>F41/C6</f>
        <v>56</v>
      </c>
    </row>
    <row r="42" spans="1:7" ht="12.75" customHeight="1" x14ac:dyDescent="0.25">
      <c r="A42" s="243" t="s">
        <v>648</v>
      </c>
      <c r="B42" s="444" t="s">
        <v>538</v>
      </c>
      <c r="C42" s="324" t="s">
        <v>146</v>
      </c>
      <c r="D42" s="455">
        <v>6</v>
      </c>
      <c r="E42" s="327">
        <f>15*C6</f>
        <v>67.528499999999994</v>
      </c>
      <c r="F42" s="326">
        <f t="shared" si="2"/>
        <v>405.17099999999994</v>
      </c>
      <c r="G42" s="326">
        <f>F42/C6</f>
        <v>89.999999999999986</v>
      </c>
    </row>
    <row r="43" spans="1:7" x14ac:dyDescent="0.25">
      <c r="A43" s="243" t="s">
        <v>649</v>
      </c>
      <c r="B43" s="457" t="s">
        <v>650</v>
      </c>
      <c r="C43" s="458" t="s">
        <v>254</v>
      </c>
      <c r="D43" s="459">
        <v>20</v>
      </c>
      <c r="E43" s="337">
        <f>15*C6</f>
        <v>67.528499999999994</v>
      </c>
      <c r="F43" s="326">
        <f t="shared" si="2"/>
        <v>1350.57</v>
      </c>
      <c r="G43" s="326">
        <f>F43/C6</f>
        <v>300</v>
      </c>
    </row>
    <row r="44" spans="1:7" ht="30" customHeight="1" x14ac:dyDescent="0.25">
      <c r="A44" s="243" t="s">
        <v>651</v>
      </c>
      <c r="B44" s="457" t="s">
        <v>652</v>
      </c>
      <c r="C44" s="458" t="s">
        <v>43</v>
      </c>
      <c r="D44" s="455">
        <v>1</v>
      </c>
      <c r="E44" s="327">
        <v>220</v>
      </c>
      <c r="F44" s="326">
        <f t="shared" si="2"/>
        <v>220</v>
      </c>
      <c r="G44" s="326">
        <f>F44/C6</f>
        <v>48.868255625402611</v>
      </c>
    </row>
    <row r="45" spans="1:7" ht="13.5" customHeight="1" x14ac:dyDescent="0.25">
      <c r="A45" s="243" t="s">
        <v>653</v>
      </c>
      <c r="B45" s="444" t="s">
        <v>654</v>
      </c>
      <c r="C45" s="458" t="s">
        <v>43</v>
      </c>
      <c r="D45" s="455">
        <v>1</v>
      </c>
      <c r="E45" s="327">
        <f>30*C6</f>
        <v>135.05699999999999</v>
      </c>
      <c r="F45" s="326">
        <f t="shared" si="2"/>
        <v>135.05699999999999</v>
      </c>
      <c r="G45" s="326">
        <f>F45/C6</f>
        <v>29.999999999999996</v>
      </c>
    </row>
    <row r="46" spans="1:7" x14ac:dyDescent="0.25">
      <c r="A46" s="243" t="s">
        <v>655</v>
      </c>
      <c r="B46" s="444" t="s">
        <v>635</v>
      </c>
      <c r="C46" s="359" t="s">
        <v>162</v>
      </c>
      <c r="D46" s="468">
        <v>10</v>
      </c>
      <c r="E46" s="327">
        <f>2*C6</f>
        <v>9.0038</v>
      </c>
      <c r="F46" s="326">
        <f t="shared" si="2"/>
        <v>90.037999999999997</v>
      </c>
      <c r="G46" s="326">
        <f>F46/C6</f>
        <v>20</v>
      </c>
    </row>
    <row r="47" spans="1:7" ht="13.5" customHeight="1" x14ac:dyDescent="0.25">
      <c r="A47" s="243" t="s">
        <v>656</v>
      </c>
      <c r="B47" s="444" t="s">
        <v>559</v>
      </c>
      <c r="C47" s="359" t="s">
        <v>162</v>
      </c>
      <c r="D47" s="468">
        <v>10</v>
      </c>
      <c r="E47" s="327">
        <f>1*C6</f>
        <v>4.5019</v>
      </c>
      <c r="F47" s="326">
        <f t="shared" si="2"/>
        <v>45.018999999999998</v>
      </c>
      <c r="G47" s="326">
        <f>F47/C6</f>
        <v>10</v>
      </c>
    </row>
    <row r="48" spans="1:7" ht="13.5" customHeight="1" x14ac:dyDescent="0.25">
      <c r="A48" s="243" t="s">
        <v>657</v>
      </c>
      <c r="B48" s="444" t="s">
        <v>621</v>
      </c>
      <c r="C48" s="261" t="s">
        <v>243</v>
      </c>
      <c r="D48" s="468">
        <v>50</v>
      </c>
      <c r="E48" s="327">
        <f>1*C6</f>
        <v>4.5019</v>
      </c>
      <c r="F48" s="326">
        <f t="shared" si="2"/>
        <v>225.095</v>
      </c>
      <c r="G48" s="326">
        <f>F48/C6</f>
        <v>50</v>
      </c>
    </row>
    <row r="49" spans="1:7" ht="13.5" customHeight="1" x14ac:dyDescent="0.25">
      <c r="A49" s="243" t="s">
        <v>658</v>
      </c>
      <c r="B49" s="462" t="s">
        <v>642</v>
      </c>
      <c r="C49" s="463" t="s">
        <v>370</v>
      </c>
      <c r="D49" s="464">
        <v>7</v>
      </c>
      <c r="E49" s="327">
        <f>100*C6</f>
        <v>450.19</v>
      </c>
      <c r="F49" s="466">
        <f>D49*E49</f>
        <v>3151.33</v>
      </c>
      <c r="G49" s="326">
        <f>F49/C6</f>
        <v>700</v>
      </c>
    </row>
    <row r="50" spans="1:7" ht="15.75" customHeight="1" x14ac:dyDescent="0.25">
      <c r="A50" s="243" t="s">
        <v>659</v>
      </c>
      <c r="B50" s="462" t="s">
        <v>242</v>
      </c>
      <c r="C50" s="463" t="s">
        <v>243</v>
      </c>
      <c r="D50" s="464">
        <v>38</v>
      </c>
      <c r="E50" s="465">
        <f>1*C6</f>
        <v>4.5019</v>
      </c>
      <c r="F50" s="466">
        <f>D50*E50</f>
        <v>171.07220000000001</v>
      </c>
      <c r="G50" s="326">
        <f>F50/C6</f>
        <v>38</v>
      </c>
    </row>
    <row r="51" spans="1:7" ht="15.75" customHeight="1" x14ac:dyDescent="0.25">
      <c r="A51" s="243"/>
      <c r="B51" s="389" t="s">
        <v>382</v>
      </c>
      <c r="C51" s="435"/>
      <c r="D51" s="265"/>
      <c r="E51" s="265"/>
      <c r="F51" s="331">
        <f>SUM(F39:F50)</f>
        <v>6972.8499999999995</v>
      </c>
      <c r="G51" s="331">
        <f>SUM(G39:G50)</f>
        <v>1548.8682556254025</v>
      </c>
    </row>
    <row r="52" spans="1:7" ht="33.75" customHeight="1" x14ac:dyDescent="0.25">
      <c r="A52" s="469" t="s">
        <v>228</v>
      </c>
      <c r="B52" s="470" t="s">
        <v>660</v>
      </c>
      <c r="C52" s="471"/>
      <c r="D52" s="455"/>
      <c r="E52" s="327"/>
      <c r="F52" s="456"/>
      <c r="G52" s="456"/>
    </row>
    <row r="53" spans="1:7" ht="16.5" customHeight="1" x14ac:dyDescent="0.25">
      <c r="A53" s="356" t="s">
        <v>300</v>
      </c>
      <c r="B53" s="444" t="s">
        <v>624</v>
      </c>
      <c r="C53" s="324" t="s">
        <v>146</v>
      </c>
      <c r="D53" s="325">
        <v>1</v>
      </c>
      <c r="E53" s="327">
        <f>20*C6</f>
        <v>90.037999999999997</v>
      </c>
      <c r="F53" s="326">
        <f t="shared" ref="F53:F68" si="3">D53*E53</f>
        <v>90.037999999999997</v>
      </c>
      <c r="G53" s="326">
        <f>F53/C6</f>
        <v>20</v>
      </c>
    </row>
    <row r="54" spans="1:7" ht="45.75" customHeight="1" x14ac:dyDescent="0.25">
      <c r="A54" s="356" t="s">
        <v>302</v>
      </c>
      <c r="B54" s="444" t="s">
        <v>206</v>
      </c>
      <c r="C54" s="324" t="s">
        <v>146</v>
      </c>
      <c r="D54" s="262">
        <v>16</v>
      </c>
      <c r="E54" s="327">
        <f>10*C6</f>
        <v>45.018999999999998</v>
      </c>
      <c r="F54" s="326">
        <f t="shared" si="3"/>
        <v>720.30399999999997</v>
      </c>
      <c r="G54" s="326">
        <f>F54/C6</f>
        <v>160</v>
      </c>
    </row>
    <row r="55" spans="1:7" ht="18.75" customHeight="1" x14ac:dyDescent="0.25">
      <c r="A55" s="356" t="s">
        <v>304</v>
      </c>
      <c r="B55" s="444" t="s">
        <v>528</v>
      </c>
      <c r="C55" s="324" t="s">
        <v>146</v>
      </c>
      <c r="D55" s="262">
        <v>12</v>
      </c>
      <c r="E55" s="327">
        <f>6*C6</f>
        <v>27.011400000000002</v>
      </c>
      <c r="F55" s="326">
        <f t="shared" si="3"/>
        <v>324.13679999999999</v>
      </c>
      <c r="G55" s="326">
        <f>F55/C6</f>
        <v>72</v>
      </c>
    </row>
    <row r="56" spans="1:7" x14ac:dyDescent="0.25">
      <c r="A56" s="356" t="s">
        <v>306</v>
      </c>
      <c r="B56" s="444" t="s">
        <v>538</v>
      </c>
      <c r="C56" s="324" t="s">
        <v>146</v>
      </c>
      <c r="D56" s="262">
        <v>4</v>
      </c>
      <c r="E56" s="327">
        <f>15*C6</f>
        <v>67.528499999999994</v>
      </c>
      <c r="F56" s="326">
        <f t="shared" si="3"/>
        <v>270.11399999999998</v>
      </c>
      <c r="G56" s="326">
        <f>F56/C6</f>
        <v>59.999999999999993</v>
      </c>
    </row>
    <row r="57" spans="1:7" x14ac:dyDescent="0.25">
      <c r="A57" s="356" t="s">
        <v>309</v>
      </c>
      <c r="B57" s="457" t="s">
        <v>661</v>
      </c>
      <c r="C57" s="458" t="s">
        <v>254</v>
      </c>
      <c r="D57" s="336">
        <v>20</v>
      </c>
      <c r="E57" s="337">
        <f>20*C6</f>
        <v>90.037999999999997</v>
      </c>
      <c r="F57" s="326">
        <f t="shared" si="3"/>
        <v>1800.76</v>
      </c>
      <c r="G57" s="326">
        <f>F57/C6</f>
        <v>400</v>
      </c>
    </row>
    <row r="58" spans="1:7" x14ac:dyDescent="0.25">
      <c r="A58" s="356" t="s">
        <v>311</v>
      </c>
      <c r="B58" s="444" t="s">
        <v>662</v>
      </c>
      <c r="C58" s="359" t="s">
        <v>43</v>
      </c>
      <c r="D58" s="472">
        <v>1</v>
      </c>
      <c r="E58" s="359">
        <f>80*C6</f>
        <v>360.15199999999999</v>
      </c>
      <c r="F58" s="326">
        <f t="shared" si="3"/>
        <v>360.15199999999999</v>
      </c>
      <c r="G58" s="326">
        <f>F58/C6</f>
        <v>80</v>
      </c>
    </row>
    <row r="59" spans="1:7" x14ac:dyDescent="0.25">
      <c r="A59" s="356" t="s">
        <v>313</v>
      </c>
      <c r="B59" s="444" t="s">
        <v>663</v>
      </c>
      <c r="C59" s="359" t="s">
        <v>43</v>
      </c>
      <c r="D59" s="472">
        <v>1</v>
      </c>
      <c r="E59" s="359">
        <f>80*C6</f>
        <v>360.15199999999999</v>
      </c>
      <c r="F59" s="326">
        <f t="shared" si="3"/>
        <v>360.15199999999999</v>
      </c>
      <c r="G59" s="326">
        <f>F59/C6</f>
        <v>80</v>
      </c>
    </row>
    <row r="60" spans="1:7" ht="18.75" customHeight="1" x14ac:dyDescent="0.25">
      <c r="A60" s="356" t="s">
        <v>315</v>
      </c>
      <c r="B60" s="444" t="s">
        <v>664</v>
      </c>
      <c r="C60" s="324" t="s">
        <v>43</v>
      </c>
      <c r="D60" s="262">
        <v>1</v>
      </c>
      <c r="E60" s="262">
        <f>250*C6</f>
        <v>1125.4749999999999</v>
      </c>
      <c r="F60" s="326">
        <f t="shared" si="3"/>
        <v>1125.4749999999999</v>
      </c>
      <c r="G60" s="326">
        <f>F60/C6</f>
        <v>249.99999999999997</v>
      </c>
    </row>
    <row r="61" spans="1:7" ht="18" customHeight="1" x14ac:dyDescent="0.25">
      <c r="A61" s="356" t="s">
        <v>317</v>
      </c>
      <c r="B61" s="444" t="s">
        <v>138</v>
      </c>
      <c r="C61" s="324" t="s">
        <v>43</v>
      </c>
      <c r="D61" s="262">
        <v>1</v>
      </c>
      <c r="E61" s="262">
        <f>155*C6</f>
        <v>697.79449999999997</v>
      </c>
      <c r="F61" s="326">
        <f t="shared" si="3"/>
        <v>697.79449999999997</v>
      </c>
      <c r="G61" s="326">
        <f>F61/C6</f>
        <v>155</v>
      </c>
    </row>
    <row r="62" spans="1:7" x14ac:dyDescent="0.25">
      <c r="A62" s="460" t="s">
        <v>318</v>
      </c>
      <c r="B62" s="473" t="s">
        <v>665</v>
      </c>
      <c r="C62" s="324" t="s">
        <v>243</v>
      </c>
      <c r="D62" s="325">
        <v>1</v>
      </c>
      <c r="E62" s="262">
        <f>175*C6</f>
        <v>787.83249999999998</v>
      </c>
      <c r="F62" s="326">
        <f t="shared" si="3"/>
        <v>787.83249999999998</v>
      </c>
      <c r="G62" s="326">
        <f>F62/C6</f>
        <v>175</v>
      </c>
    </row>
    <row r="63" spans="1:7" x14ac:dyDescent="0.25">
      <c r="A63" s="460" t="s">
        <v>459</v>
      </c>
      <c r="B63" s="81" t="s">
        <v>666</v>
      </c>
      <c r="C63" s="324" t="s">
        <v>43</v>
      </c>
      <c r="D63" s="262">
        <v>1</v>
      </c>
      <c r="E63" s="262">
        <f>20*C6</f>
        <v>90.037999999999997</v>
      </c>
      <c r="F63" s="326">
        <f t="shared" si="3"/>
        <v>90.037999999999997</v>
      </c>
      <c r="G63" s="326">
        <f>F63/C6</f>
        <v>20</v>
      </c>
    </row>
    <row r="64" spans="1:7" x14ac:dyDescent="0.25">
      <c r="A64" s="460" t="s">
        <v>461</v>
      </c>
      <c r="B64" s="444" t="s">
        <v>635</v>
      </c>
      <c r="C64" s="324" t="s">
        <v>162</v>
      </c>
      <c r="D64" s="262">
        <v>28</v>
      </c>
      <c r="E64" s="262">
        <f>2*C6</f>
        <v>9.0038</v>
      </c>
      <c r="F64" s="326">
        <f t="shared" si="3"/>
        <v>252.10640000000001</v>
      </c>
      <c r="G64" s="326">
        <f>F64/C6</f>
        <v>56</v>
      </c>
    </row>
    <row r="65" spans="1:7" x14ac:dyDescent="0.25">
      <c r="A65" s="460" t="s">
        <v>463</v>
      </c>
      <c r="B65" s="444" t="s">
        <v>559</v>
      </c>
      <c r="C65" s="324" t="s">
        <v>162</v>
      </c>
      <c r="D65" s="262">
        <v>28</v>
      </c>
      <c r="E65" s="262">
        <f>2*C6</f>
        <v>9.0038</v>
      </c>
      <c r="F65" s="326">
        <f t="shared" si="3"/>
        <v>252.10640000000001</v>
      </c>
      <c r="G65" s="326">
        <f>F65/C6</f>
        <v>56</v>
      </c>
    </row>
    <row r="66" spans="1:7" x14ac:dyDescent="0.25">
      <c r="A66" s="474" t="s">
        <v>667</v>
      </c>
      <c r="B66" s="360" t="s">
        <v>668</v>
      </c>
      <c r="C66" s="475" t="s">
        <v>254</v>
      </c>
      <c r="D66" s="341">
        <v>6</v>
      </c>
      <c r="E66" s="357">
        <f>13.335*C6</f>
        <v>60.032836500000002</v>
      </c>
      <c r="F66" s="326">
        <f t="shared" si="3"/>
        <v>360.19701900000001</v>
      </c>
      <c r="G66" s="326">
        <f>F66/C6</f>
        <v>80.010000000000005</v>
      </c>
    </row>
    <row r="67" spans="1:7" x14ac:dyDescent="0.25">
      <c r="A67" s="474" t="s">
        <v>669</v>
      </c>
      <c r="B67" s="462" t="s">
        <v>642</v>
      </c>
      <c r="C67" s="463" t="s">
        <v>370</v>
      </c>
      <c r="D67" s="464">
        <v>8</v>
      </c>
      <c r="E67" s="465">
        <f>97*C6</f>
        <v>436.68430000000001</v>
      </c>
      <c r="F67" s="466">
        <f t="shared" si="3"/>
        <v>3493.4744000000001</v>
      </c>
      <c r="G67" s="326">
        <f>F67/C6</f>
        <v>776</v>
      </c>
    </row>
    <row r="68" spans="1:7" x14ac:dyDescent="0.25">
      <c r="A68" s="474" t="s">
        <v>670</v>
      </c>
      <c r="B68" s="393" t="s">
        <v>242</v>
      </c>
      <c r="C68" s="476" t="s">
        <v>243</v>
      </c>
      <c r="D68" s="464">
        <v>30</v>
      </c>
      <c r="E68" s="477">
        <f>1*C6</f>
        <v>4.5019</v>
      </c>
      <c r="F68" s="466">
        <f t="shared" si="3"/>
        <v>135.05699999999999</v>
      </c>
      <c r="G68" s="326">
        <f>F68/C6</f>
        <v>29.999999999999996</v>
      </c>
    </row>
    <row r="69" spans="1:7" x14ac:dyDescent="0.25">
      <c r="A69" s="434"/>
      <c r="B69" s="389" t="s">
        <v>382</v>
      </c>
      <c r="C69" s="435"/>
      <c r="D69" s="265"/>
      <c r="E69" s="265"/>
      <c r="F69" s="331">
        <f>SUM(F53:F68)</f>
        <v>11119.738019</v>
      </c>
      <c r="G69" s="331">
        <f>SUM(G53:G68)</f>
        <v>2470.0100000000002</v>
      </c>
    </row>
    <row r="70" spans="1:7" x14ac:dyDescent="0.25">
      <c r="A70" s="434"/>
      <c r="B70" s="767" t="s">
        <v>8</v>
      </c>
      <c r="C70" s="768"/>
      <c r="D70" s="768"/>
      <c r="E70" s="769"/>
      <c r="F70" s="478">
        <f>F15+F33+F51+F69</f>
        <v>37495.777019000001</v>
      </c>
      <c r="G70" s="478">
        <f>G15+G33+G51+G69</f>
        <v>8328.8782556254027</v>
      </c>
    </row>
    <row r="71" spans="1:7" x14ac:dyDescent="0.25">
      <c r="A71" s="361"/>
      <c r="B71" s="362"/>
      <c r="C71" s="363"/>
      <c r="D71" s="364"/>
      <c r="E71" s="364"/>
      <c r="F71" s="364"/>
      <c r="G71" s="364"/>
    </row>
    <row r="72" spans="1:7" x14ac:dyDescent="0.25">
      <c r="A72" s="368"/>
      <c r="B72" s="136" t="s">
        <v>554</v>
      </c>
      <c r="C72" s="250"/>
      <c r="D72" s="369"/>
    </row>
    <row r="73" spans="1:7" x14ac:dyDescent="0.25">
      <c r="A73" s="368"/>
      <c r="B73" s="137" t="s">
        <v>813</v>
      </c>
      <c r="C73" s="250"/>
      <c r="D73" s="369"/>
    </row>
    <row r="74" spans="1:7" x14ac:dyDescent="0.25">
      <c r="A74" s="368"/>
      <c r="B74" s="246"/>
      <c r="C74" s="250"/>
      <c r="D74" s="369"/>
    </row>
  </sheetData>
  <mergeCells count="4">
    <mergeCell ref="A4:D4"/>
    <mergeCell ref="A5:D5"/>
    <mergeCell ref="A36:D36"/>
    <mergeCell ref="B70:E70"/>
  </mergeCell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F25" sqref="A1:F25"/>
    </sheetView>
  </sheetViews>
  <sheetFormatPr defaultRowHeight="18" x14ac:dyDescent="0.25"/>
  <cols>
    <col min="1" max="1" width="4.5703125" style="480" customWidth="1"/>
    <col min="2" max="2" width="55.140625" style="480" customWidth="1"/>
    <col min="3" max="3" width="9" style="480" customWidth="1"/>
    <col min="4" max="4" width="7.5703125" style="480" customWidth="1"/>
    <col min="5" max="5" width="10" style="480" customWidth="1"/>
    <col min="6" max="6" width="10.140625" style="480" customWidth="1"/>
    <col min="7" max="7" width="10.140625" style="480" hidden="1" customWidth="1"/>
    <col min="8" max="11" width="9.140625" style="480"/>
    <col min="12" max="12" width="9.5703125" style="480" bestFit="1" customWidth="1"/>
    <col min="13" max="256" width="9.140625" style="480"/>
    <col min="257" max="257" width="4.5703125" style="480" customWidth="1"/>
    <col min="258" max="258" width="55.140625" style="480" customWidth="1"/>
    <col min="259" max="259" width="6.5703125" style="480" customWidth="1"/>
    <col min="260" max="260" width="7.5703125" style="480" customWidth="1"/>
    <col min="261" max="261" width="10" style="480" customWidth="1"/>
    <col min="262" max="262" width="10.140625" style="480" customWidth="1"/>
    <col min="263" max="263" width="9.5703125" style="480" bestFit="1" customWidth="1"/>
    <col min="264" max="512" width="9.140625" style="480"/>
    <col min="513" max="513" width="4.5703125" style="480" customWidth="1"/>
    <col min="514" max="514" width="55.140625" style="480" customWidth="1"/>
    <col min="515" max="515" width="6.5703125" style="480" customWidth="1"/>
    <col min="516" max="516" width="7.5703125" style="480" customWidth="1"/>
    <col min="517" max="517" width="10" style="480" customWidth="1"/>
    <col min="518" max="518" width="10.140625" style="480" customWidth="1"/>
    <col min="519" max="519" width="9.5703125" style="480" bestFit="1" customWidth="1"/>
    <col min="520" max="768" width="9.140625" style="480"/>
    <col min="769" max="769" width="4.5703125" style="480" customWidth="1"/>
    <col min="770" max="770" width="55.140625" style="480" customWidth="1"/>
    <col min="771" max="771" width="6.5703125" style="480" customWidth="1"/>
    <col min="772" max="772" width="7.5703125" style="480" customWidth="1"/>
    <col min="773" max="773" width="10" style="480" customWidth="1"/>
    <col min="774" max="774" width="10.140625" style="480" customWidth="1"/>
    <col min="775" max="775" width="9.5703125" style="480" bestFit="1" customWidth="1"/>
    <col min="776" max="1024" width="9.140625" style="480"/>
    <col min="1025" max="1025" width="4.5703125" style="480" customWidth="1"/>
    <col min="1026" max="1026" width="55.140625" style="480" customWidth="1"/>
    <col min="1027" max="1027" width="6.5703125" style="480" customWidth="1"/>
    <col min="1028" max="1028" width="7.5703125" style="480" customWidth="1"/>
    <col min="1029" max="1029" width="10" style="480" customWidth="1"/>
    <col min="1030" max="1030" width="10.140625" style="480" customWidth="1"/>
    <col min="1031" max="1031" width="9.5703125" style="480" bestFit="1" customWidth="1"/>
    <col min="1032" max="1280" width="9.140625" style="480"/>
    <col min="1281" max="1281" width="4.5703125" style="480" customWidth="1"/>
    <col min="1282" max="1282" width="55.140625" style="480" customWidth="1"/>
    <col min="1283" max="1283" width="6.5703125" style="480" customWidth="1"/>
    <col min="1284" max="1284" width="7.5703125" style="480" customWidth="1"/>
    <col min="1285" max="1285" width="10" style="480" customWidth="1"/>
    <col min="1286" max="1286" width="10.140625" style="480" customWidth="1"/>
    <col min="1287" max="1287" width="9.5703125" style="480" bestFit="1" customWidth="1"/>
    <col min="1288" max="1536" width="9.140625" style="480"/>
    <col min="1537" max="1537" width="4.5703125" style="480" customWidth="1"/>
    <col min="1538" max="1538" width="55.140625" style="480" customWidth="1"/>
    <col min="1539" max="1539" width="6.5703125" style="480" customWidth="1"/>
    <col min="1540" max="1540" width="7.5703125" style="480" customWidth="1"/>
    <col min="1541" max="1541" width="10" style="480" customWidth="1"/>
    <col min="1542" max="1542" width="10.140625" style="480" customWidth="1"/>
    <col min="1543" max="1543" width="9.5703125" style="480" bestFit="1" customWidth="1"/>
    <col min="1544" max="1792" width="9.140625" style="480"/>
    <col min="1793" max="1793" width="4.5703125" style="480" customWidth="1"/>
    <col min="1794" max="1794" width="55.140625" style="480" customWidth="1"/>
    <col min="1795" max="1795" width="6.5703125" style="480" customWidth="1"/>
    <col min="1796" max="1796" width="7.5703125" style="480" customWidth="1"/>
    <col min="1797" max="1797" width="10" style="480" customWidth="1"/>
    <col min="1798" max="1798" width="10.140625" style="480" customWidth="1"/>
    <col min="1799" max="1799" width="9.5703125" style="480" bestFit="1" customWidth="1"/>
    <col min="1800" max="2048" width="9.140625" style="480"/>
    <col min="2049" max="2049" width="4.5703125" style="480" customWidth="1"/>
    <col min="2050" max="2050" width="55.140625" style="480" customWidth="1"/>
    <col min="2051" max="2051" width="6.5703125" style="480" customWidth="1"/>
    <col min="2052" max="2052" width="7.5703125" style="480" customWidth="1"/>
    <col min="2053" max="2053" width="10" style="480" customWidth="1"/>
    <col min="2054" max="2054" width="10.140625" style="480" customWidth="1"/>
    <col min="2055" max="2055" width="9.5703125" style="480" bestFit="1" customWidth="1"/>
    <col min="2056" max="2304" width="9.140625" style="480"/>
    <col min="2305" max="2305" width="4.5703125" style="480" customWidth="1"/>
    <col min="2306" max="2306" width="55.140625" style="480" customWidth="1"/>
    <col min="2307" max="2307" width="6.5703125" style="480" customWidth="1"/>
    <col min="2308" max="2308" width="7.5703125" style="480" customWidth="1"/>
    <col min="2309" max="2309" width="10" style="480" customWidth="1"/>
    <col min="2310" max="2310" width="10.140625" style="480" customWidth="1"/>
    <col min="2311" max="2311" width="9.5703125" style="480" bestFit="1" customWidth="1"/>
    <col min="2312" max="2560" width="9.140625" style="480"/>
    <col min="2561" max="2561" width="4.5703125" style="480" customWidth="1"/>
    <col min="2562" max="2562" width="55.140625" style="480" customWidth="1"/>
    <col min="2563" max="2563" width="6.5703125" style="480" customWidth="1"/>
    <col min="2564" max="2564" width="7.5703125" style="480" customWidth="1"/>
    <col min="2565" max="2565" width="10" style="480" customWidth="1"/>
    <col min="2566" max="2566" width="10.140625" style="480" customWidth="1"/>
    <col min="2567" max="2567" width="9.5703125" style="480" bestFit="1" customWidth="1"/>
    <col min="2568" max="2816" width="9.140625" style="480"/>
    <col min="2817" max="2817" width="4.5703125" style="480" customWidth="1"/>
    <col min="2818" max="2818" width="55.140625" style="480" customWidth="1"/>
    <col min="2819" max="2819" width="6.5703125" style="480" customWidth="1"/>
    <col min="2820" max="2820" width="7.5703125" style="480" customWidth="1"/>
    <col min="2821" max="2821" width="10" style="480" customWidth="1"/>
    <col min="2822" max="2822" width="10.140625" style="480" customWidth="1"/>
    <col min="2823" max="2823" width="9.5703125" style="480" bestFit="1" customWidth="1"/>
    <col min="2824" max="3072" width="9.140625" style="480"/>
    <col min="3073" max="3073" width="4.5703125" style="480" customWidth="1"/>
    <col min="3074" max="3074" width="55.140625" style="480" customWidth="1"/>
    <col min="3075" max="3075" width="6.5703125" style="480" customWidth="1"/>
    <col min="3076" max="3076" width="7.5703125" style="480" customWidth="1"/>
    <col min="3077" max="3077" width="10" style="480" customWidth="1"/>
    <col min="3078" max="3078" width="10.140625" style="480" customWidth="1"/>
    <col min="3079" max="3079" width="9.5703125" style="480" bestFit="1" customWidth="1"/>
    <col min="3080" max="3328" width="9.140625" style="480"/>
    <col min="3329" max="3329" width="4.5703125" style="480" customWidth="1"/>
    <col min="3330" max="3330" width="55.140625" style="480" customWidth="1"/>
    <col min="3331" max="3331" width="6.5703125" style="480" customWidth="1"/>
    <col min="3332" max="3332" width="7.5703125" style="480" customWidth="1"/>
    <col min="3333" max="3333" width="10" style="480" customWidth="1"/>
    <col min="3334" max="3334" width="10.140625" style="480" customWidth="1"/>
    <col min="3335" max="3335" width="9.5703125" style="480" bestFit="1" customWidth="1"/>
    <col min="3336" max="3584" width="9.140625" style="480"/>
    <col min="3585" max="3585" width="4.5703125" style="480" customWidth="1"/>
    <col min="3586" max="3586" width="55.140625" style="480" customWidth="1"/>
    <col min="3587" max="3587" width="6.5703125" style="480" customWidth="1"/>
    <col min="3588" max="3588" width="7.5703125" style="480" customWidth="1"/>
    <col min="3589" max="3589" width="10" style="480" customWidth="1"/>
    <col min="3590" max="3590" width="10.140625" style="480" customWidth="1"/>
    <col min="3591" max="3591" width="9.5703125" style="480" bestFit="1" customWidth="1"/>
    <col min="3592" max="3840" width="9.140625" style="480"/>
    <col min="3841" max="3841" width="4.5703125" style="480" customWidth="1"/>
    <col min="3842" max="3842" width="55.140625" style="480" customWidth="1"/>
    <col min="3843" max="3843" width="6.5703125" style="480" customWidth="1"/>
    <col min="3844" max="3844" width="7.5703125" style="480" customWidth="1"/>
    <col min="3845" max="3845" width="10" style="480" customWidth="1"/>
    <col min="3846" max="3846" width="10.140625" style="480" customWidth="1"/>
    <col min="3847" max="3847" width="9.5703125" style="480" bestFit="1" customWidth="1"/>
    <col min="3848" max="4096" width="9.140625" style="480"/>
    <col min="4097" max="4097" width="4.5703125" style="480" customWidth="1"/>
    <col min="4098" max="4098" width="55.140625" style="480" customWidth="1"/>
    <col min="4099" max="4099" width="6.5703125" style="480" customWidth="1"/>
    <col min="4100" max="4100" width="7.5703125" style="480" customWidth="1"/>
    <col min="4101" max="4101" width="10" style="480" customWidth="1"/>
    <col min="4102" max="4102" width="10.140625" style="480" customWidth="1"/>
    <col min="4103" max="4103" width="9.5703125" style="480" bestFit="1" customWidth="1"/>
    <col min="4104" max="4352" width="9.140625" style="480"/>
    <col min="4353" max="4353" width="4.5703125" style="480" customWidth="1"/>
    <col min="4354" max="4354" width="55.140625" style="480" customWidth="1"/>
    <col min="4355" max="4355" width="6.5703125" style="480" customWidth="1"/>
    <col min="4356" max="4356" width="7.5703125" style="480" customWidth="1"/>
    <col min="4357" max="4357" width="10" style="480" customWidth="1"/>
    <col min="4358" max="4358" width="10.140625" style="480" customWidth="1"/>
    <col min="4359" max="4359" width="9.5703125" style="480" bestFit="1" customWidth="1"/>
    <col min="4360" max="4608" width="9.140625" style="480"/>
    <col min="4609" max="4609" width="4.5703125" style="480" customWidth="1"/>
    <col min="4610" max="4610" width="55.140625" style="480" customWidth="1"/>
    <col min="4611" max="4611" width="6.5703125" style="480" customWidth="1"/>
    <col min="4612" max="4612" width="7.5703125" style="480" customWidth="1"/>
    <col min="4613" max="4613" width="10" style="480" customWidth="1"/>
    <col min="4614" max="4614" width="10.140625" style="480" customWidth="1"/>
    <col min="4615" max="4615" width="9.5703125" style="480" bestFit="1" customWidth="1"/>
    <col min="4616" max="4864" width="9.140625" style="480"/>
    <col min="4865" max="4865" width="4.5703125" style="480" customWidth="1"/>
    <col min="4866" max="4866" width="55.140625" style="480" customWidth="1"/>
    <col min="4867" max="4867" width="6.5703125" style="480" customWidth="1"/>
    <col min="4868" max="4868" width="7.5703125" style="480" customWidth="1"/>
    <col min="4869" max="4869" width="10" style="480" customWidth="1"/>
    <col min="4870" max="4870" width="10.140625" style="480" customWidth="1"/>
    <col min="4871" max="4871" width="9.5703125" style="480" bestFit="1" customWidth="1"/>
    <col min="4872" max="5120" width="9.140625" style="480"/>
    <col min="5121" max="5121" width="4.5703125" style="480" customWidth="1"/>
    <col min="5122" max="5122" width="55.140625" style="480" customWidth="1"/>
    <col min="5123" max="5123" width="6.5703125" style="480" customWidth="1"/>
    <col min="5124" max="5124" width="7.5703125" style="480" customWidth="1"/>
    <col min="5125" max="5125" width="10" style="480" customWidth="1"/>
    <col min="5126" max="5126" width="10.140625" style="480" customWidth="1"/>
    <col min="5127" max="5127" width="9.5703125" style="480" bestFit="1" customWidth="1"/>
    <col min="5128" max="5376" width="9.140625" style="480"/>
    <col min="5377" max="5377" width="4.5703125" style="480" customWidth="1"/>
    <col min="5378" max="5378" width="55.140625" style="480" customWidth="1"/>
    <col min="5379" max="5379" width="6.5703125" style="480" customWidth="1"/>
    <col min="5380" max="5380" width="7.5703125" style="480" customWidth="1"/>
    <col min="5381" max="5381" width="10" style="480" customWidth="1"/>
    <col min="5382" max="5382" width="10.140625" style="480" customWidth="1"/>
    <col min="5383" max="5383" width="9.5703125" style="480" bestFit="1" customWidth="1"/>
    <col min="5384" max="5632" width="9.140625" style="480"/>
    <col min="5633" max="5633" width="4.5703125" style="480" customWidth="1"/>
    <col min="5634" max="5634" width="55.140625" style="480" customWidth="1"/>
    <col min="5635" max="5635" width="6.5703125" style="480" customWidth="1"/>
    <col min="5636" max="5636" width="7.5703125" style="480" customWidth="1"/>
    <col min="5637" max="5637" width="10" style="480" customWidth="1"/>
    <col min="5638" max="5638" width="10.140625" style="480" customWidth="1"/>
    <col min="5639" max="5639" width="9.5703125" style="480" bestFit="1" customWidth="1"/>
    <col min="5640" max="5888" width="9.140625" style="480"/>
    <col min="5889" max="5889" width="4.5703125" style="480" customWidth="1"/>
    <col min="5890" max="5890" width="55.140625" style="480" customWidth="1"/>
    <col min="5891" max="5891" width="6.5703125" style="480" customWidth="1"/>
    <col min="5892" max="5892" width="7.5703125" style="480" customWidth="1"/>
    <col min="5893" max="5893" width="10" style="480" customWidth="1"/>
    <col min="5894" max="5894" width="10.140625" style="480" customWidth="1"/>
    <col min="5895" max="5895" width="9.5703125" style="480" bestFit="1" customWidth="1"/>
    <col min="5896" max="6144" width="9.140625" style="480"/>
    <col min="6145" max="6145" width="4.5703125" style="480" customWidth="1"/>
    <col min="6146" max="6146" width="55.140625" style="480" customWidth="1"/>
    <col min="6147" max="6147" width="6.5703125" style="480" customWidth="1"/>
    <col min="6148" max="6148" width="7.5703125" style="480" customWidth="1"/>
    <col min="6149" max="6149" width="10" style="480" customWidth="1"/>
    <col min="6150" max="6150" width="10.140625" style="480" customWidth="1"/>
    <col min="6151" max="6151" width="9.5703125" style="480" bestFit="1" customWidth="1"/>
    <col min="6152" max="6400" width="9.140625" style="480"/>
    <col min="6401" max="6401" width="4.5703125" style="480" customWidth="1"/>
    <col min="6402" max="6402" width="55.140625" style="480" customWidth="1"/>
    <col min="6403" max="6403" width="6.5703125" style="480" customWidth="1"/>
    <col min="6404" max="6404" width="7.5703125" style="480" customWidth="1"/>
    <col min="6405" max="6405" width="10" style="480" customWidth="1"/>
    <col min="6406" max="6406" width="10.140625" style="480" customWidth="1"/>
    <col min="6407" max="6407" width="9.5703125" style="480" bestFit="1" customWidth="1"/>
    <col min="6408" max="6656" width="9.140625" style="480"/>
    <col min="6657" max="6657" width="4.5703125" style="480" customWidth="1"/>
    <col min="6658" max="6658" width="55.140625" style="480" customWidth="1"/>
    <col min="6659" max="6659" width="6.5703125" style="480" customWidth="1"/>
    <col min="6660" max="6660" width="7.5703125" style="480" customWidth="1"/>
    <col min="6661" max="6661" width="10" style="480" customWidth="1"/>
    <col min="6662" max="6662" width="10.140625" style="480" customWidth="1"/>
    <col min="6663" max="6663" width="9.5703125" style="480" bestFit="1" customWidth="1"/>
    <col min="6664" max="6912" width="9.140625" style="480"/>
    <col min="6913" max="6913" width="4.5703125" style="480" customWidth="1"/>
    <col min="6914" max="6914" width="55.140625" style="480" customWidth="1"/>
    <col min="6915" max="6915" width="6.5703125" style="480" customWidth="1"/>
    <col min="6916" max="6916" width="7.5703125" style="480" customWidth="1"/>
    <col min="6917" max="6917" width="10" style="480" customWidth="1"/>
    <col min="6918" max="6918" width="10.140625" style="480" customWidth="1"/>
    <col min="6919" max="6919" width="9.5703125" style="480" bestFit="1" customWidth="1"/>
    <col min="6920" max="7168" width="9.140625" style="480"/>
    <col min="7169" max="7169" width="4.5703125" style="480" customWidth="1"/>
    <col min="7170" max="7170" width="55.140625" style="480" customWidth="1"/>
    <col min="7171" max="7171" width="6.5703125" style="480" customWidth="1"/>
    <col min="7172" max="7172" width="7.5703125" style="480" customWidth="1"/>
    <col min="7173" max="7173" width="10" style="480" customWidth="1"/>
    <col min="7174" max="7174" width="10.140625" style="480" customWidth="1"/>
    <col min="7175" max="7175" width="9.5703125" style="480" bestFit="1" customWidth="1"/>
    <col min="7176" max="7424" width="9.140625" style="480"/>
    <col min="7425" max="7425" width="4.5703125" style="480" customWidth="1"/>
    <col min="7426" max="7426" width="55.140625" style="480" customWidth="1"/>
    <col min="7427" max="7427" width="6.5703125" style="480" customWidth="1"/>
    <col min="7428" max="7428" width="7.5703125" style="480" customWidth="1"/>
    <col min="7429" max="7429" width="10" style="480" customWidth="1"/>
    <col min="7430" max="7430" width="10.140625" style="480" customWidth="1"/>
    <col min="7431" max="7431" width="9.5703125" style="480" bestFit="1" customWidth="1"/>
    <col min="7432" max="7680" width="9.140625" style="480"/>
    <col min="7681" max="7681" width="4.5703125" style="480" customWidth="1"/>
    <col min="7682" max="7682" width="55.140625" style="480" customWidth="1"/>
    <col min="7683" max="7683" width="6.5703125" style="480" customWidth="1"/>
    <col min="7684" max="7684" width="7.5703125" style="480" customWidth="1"/>
    <col min="7685" max="7685" width="10" style="480" customWidth="1"/>
    <col min="7686" max="7686" width="10.140625" style="480" customWidth="1"/>
    <col min="7687" max="7687" width="9.5703125" style="480" bestFit="1" customWidth="1"/>
    <col min="7688" max="7936" width="9.140625" style="480"/>
    <col min="7937" max="7937" width="4.5703125" style="480" customWidth="1"/>
    <col min="7938" max="7938" width="55.140625" style="480" customWidth="1"/>
    <col min="7939" max="7939" width="6.5703125" style="480" customWidth="1"/>
    <col min="7940" max="7940" width="7.5703125" style="480" customWidth="1"/>
    <col min="7941" max="7941" width="10" style="480" customWidth="1"/>
    <col min="7942" max="7942" width="10.140625" style="480" customWidth="1"/>
    <col min="7943" max="7943" width="9.5703125" style="480" bestFit="1" customWidth="1"/>
    <col min="7944" max="8192" width="9.140625" style="480"/>
    <col min="8193" max="8193" width="4.5703125" style="480" customWidth="1"/>
    <col min="8194" max="8194" width="55.140625" style="480" customWidth="1"/>
    <col min="8195" max="8195" width="6.5703125" style="480" customWidth="1"/>
    <col min="8196" max="8196" width="7.5703125" style="480" customWidth="1"/>
    <col min="8197" max="8197" width="10" style="480" customWidth="1"/>
    <col min="8198" max="8198" width="10.140625" style="480" customWidth="1"/>
    <col min="8199" max="8199" width="9.5703125" style="480" bestFit="1" customWidth="1"/>
    <col min="8200" max="8448" width="9.140625" style="480"/>
    <col min="8449" max="8449" width="4.5703125" style="480" customWidth="1"/>
    <col min="8450" max="8450" width="55.140625" style="480" customWidth="1"/>
    <col min="8451" max="8451" width="6.5703125" style="480" customWidth="1"/>
    <col min="8452" max="8452" width="7.5703125" style="480" customWidth="1"/>
    <col min="8453" max="8453" width="10" style="480" customWidth="1"/>
    <col min="8454" max="8454" width="10.140625" style="480" customWidth="1"/>
    <col min="8455" max="8455" width="9.5703125" style="480" bestFit="1" customWidth="1"/>
    <col min="8456" max="8704" width="9.140625" style="480"/>
    <col min="8705" max="8705" width="4.5703125" style="480" customWidth="1"/>
    <col min="8706" max="8706" width="55.140625" style="480" customWidth="1"/>
    <col min="8707" max="8707" width="6.5703125" style="480" customWidth="1"/>
    <col min="8708" max="8708" width="7.5703125" style="480" customWidth="1"/>
    <col min="8709" max="8709" width="10" style="480" customWidth="1"/>
    <col min="8710" max="8710" width="10.140625" style="480" customWidth="1"/>
    <col min="8711" max="8711" width="9.5703125" style="480" bestFit="1" customWidth="1"/>
    <col min="8712" max="8960" width="9.140625" style="480"/>
    <col min="8961" max="8961" width="4.5703125" style="480" customWidth="1"/>
    <col min="8962" max="8962" width="55.140625" style="480" customWidth="1"/>
    <col min="8963" max="8963" width="6.5703125" style="480" customWidth="1"/>
    <col min="8964" max="8964" width="7.5703125" style="480" customWidth="1"/>
    <col min="8965" max="8965" width="10" style="480" customWidth="1"/>
    <col min="8966" max="8966" width="10.140625" style="480" customWidth="1"/>
    <col min="8967" max="8967" width="9.5703125" style="480" bestFit="1" customWidth="1"/>
    <col min="8968" max="9216" width="9.140625" style="480"/>
    <col min="9217" max="9217" width="4.5703125" style="480" customWidth="1"/>
    <col min="9218" max="9218" width="55.140625" style="480" customWidth="1"/>
    <col min="9219" max="9219" width="6.5703125" style="480" customWidth="1"/>
    <col min="9220" max="9220" width="7.5703125" style="480" customWidth="1"/>
    <col min="9221" max="9221" width="10" style="480" customWidth="1"/>
    <col min="9222" max="9222" width="10.140625" style="480" customWidth="1"/>
    <col min="9223" max="9223" width="9.5703125" style="480" bestFit="1" customWidth="1"/>
    <col min="9224" max="9472" width="9.140625" style="480"/>
    <col min="9473" max="9473" width="4.5703125" style="480" customWidth="1"/>
    <col min="9474" max="9474" width="55.140625" style="480" customWidth="1"/>
    <col min="9475" max="9475" width="6.5703125" style="480" customWidth="1"/>
    <col min="9476" max="9476" width="7.5703125" style="480" customWidth="1"/>
    <col min="9477" max="9477" width="10" style="480" customWidth="1"/>
    <col min="9478" max="9478" width="10.140625" style="480" customWidth="1"/>
    <col min="9479" max="9479" width="9.5703125" style="480" bestFit="1" customWidth="1"/>
    <col min="9480" max="9728" width="9.140625" style="480"/>
    <col min="9729" max="9729" width="4.5703125" style="480" customWidth="1"/>
    <col min="9730" max="9730" width="55.140625" style="480" customWidth="1"/>
    <col min="9731" max="9731" width="6.5703125" style="480" customWidth="1"/>
    <col min="9732" max="9732" width="7.5703125" style="480" customWidth="1"/>
    <col min="9733" max="9733" width="10" style="480" customWidth="1"/>
    <col min="9734" max="9734" width="10.140625" style="480" customWidth="1"/>
    <col min="9735" max="9735" width="9.5703125" style="480" bestFit="1" customWidth="1"/>
    <col min="9736" max="9984" width="9.140625" style="480"/>
    <col min="9985" max="9985" width="4.5703125" style="480" customWidth="1"/>
    <col min="9986" max="9986" width="55.140625" style="480" customWidth="1"/>
    <col min="9987" max="9987" width="6.5703125" style="480" customWidth="1"/>
    <col min="9988" max="9988" width="7.5703125" style="480" customWidth="1"/>
    <col min="9989" max="9989" width="10" style="480" customWidth="1"/>
    <col min="9990" max="9990" width="10.140625" style="480" customWidth="1"/>
    <col min="9991" max="9991" width="9.5703125" style="480" bestFit="1" customWidth="1"/>
    <col min="9992" max="10240" width="9.140625" style="480"/>
    <col min="10241" max="10241" width="4.5703125" style="480" customWidth="1"/>
    <col min="10242" max="10242" width="55.140625" style="480" customWidth="1"/>
    <col min="10243" max="10243" width="6.5703125" style="480" customWidth="1"/>
    <col min="10244" max="10244" width="7.5703125" style="480" customWidth="1"/>
    <col min="10245" max="10245" width="10" style="480" customWidth="1"/>
    <col min="10246" max="10246" width="10.140625" style="480" customWidth="1"/>
    <col min="10247" max="10247" width="9.5703125" style="480" bestFit="1" customWidth="1"/>
    <col min="10248" max="10496" width="9.140625" style="480"/>
    <col min="10497" max="10497" width="4.5703125" style="480" customWidth="1"/>
    <col min="10498" max="10498" width="55.140625" style="480" customWidth="1"/>
    <col min="10499" max="10499" width="6.5703125" style="480" customWidth="1"/>
    <col min="10500" max="10500" width="7.5703125" style="480" customWidth="1"/>
    <col min="10501" max="10501" width="10" style="480" customWidth="1"/>
    <col min="10502" max="10502" width="10.140625" style="480" customWidth="1"/>
    <col min="10503" max="10503" width="9.5703125" style="480" bestFit="1" customWidth="1"/>
    <col min="10504" max="10752" width="9.140625" style="480"/>
    <col min="10753" max="10753" width="4.5703125" style="480" customWidth="1"/>
    <col min="10754" max="10754" width="55.140625" style="480" customWidth="1"/>
    <col min="10755" max="10755" width="6.5703125" style="480" customWidth="1"/>
    <col min="10756" max="10756" width="7.5703125" style="480" customWidth="1"/>
    <col min="10757" max="10757" width="10" style="480" customWidth="1"/>
    <col min="10758" max="10758" width="10.140625" style="480" customWidth="1"/>
    <col min="10759" max="10759" width="9.5703125" style="480" bestFit="1" customWidth="1"/>
    <col min="10760" max="11008" width="9.140625" style="480"/>
    <col min="11009" max="11009" width="4.5703125" style="480" customWidth="1"/>
    <col min="11010" max="11010" width="55.140625" style="480" customWidth="1"/>
    <col min="11011" max="11011" width="6.5703125" style="480" customWidth="1"/>
    <col min="11012" max="11012" width="7.5703125" style="480" customWidth="1"/>
    <col min="11013" max="11013" width="10" style="480" customWidth="1"/>
    <col min="11014" max="11014" width="10.140625" style="480" customWidth="1"/>
    <col min="11015" max="11015" width="9.5703125" style="480" bestFit="1" customWidth="1"/>
    <col min="11016" max="11264" width="9.140625" style="480"/>
    <col min="11265" max="11265" width="4.5703125" style="480" customWidth="1"/>
    <col min="11266" max="11266" width="55.140625" style="480" customWidth="1"/>
    <col min="11267" max="11267" width="6.5703125" style="480" customWidth="1"/>
    <col min="11268" max="11268" width="7.5703125" style="480" customWidth="1"/>
    <col min="11269" max="11269" width="10" style="480" customWidth="1"/>
    <col min="11270" max="11270" width="10.140625" style="480" customWidth="1"/>
    <col min="11271" max="11271" width="9.5703125" style="480" bestFit="1" customWidth="1"/>
    <col min="11272" max="11520" width="9.140625" style="480"/>
    <col min="11521" max="11521" width="4.5703125" style="480" customWidth="1"/>
    <col min="11522" max="11522" width="55.140625" style="480" customWidth="1"/>
    <col min="11523" max="11523" width="6.5703125" style="480" customWidth="1"/>
    <col min="11524" max="11524" width="7.5703125" style="480" customWidth="1"/>
    <col min="11525" max="11525" width="10" style="480" customWidth="1"/>
    <col min="11526" max="11526" width="10.140625" style="480" customWidth="1"/>
    <col min="11527" max="11527" width="9.5703125" style="480" bestFit="1" customWidth="1"/>
    <col min="11528" max="11776" width="9.140625" style="480"/>
    <col min="11777" max="11777" width="4.5703125" style="480" customWidth="1"/>
    <col min="11778" max="11778" width="55.140625" style="480" customWidth="1"/>
    <col min="11779" max="11779" width="6.5703125" style="480" customWidth="1"/>
    <col min="11780" max="11780" width="7.5703125" style="480" customWidth="1"/>
    <col min="11781" max="11781" width="10" style="480" customWidth="1"/>
    <col min="11782" max="11782" width="10.140625" style="480" customWidth="1"/>
    <col min="11783" max="11783" width="9.5703125" style="480" bestFit="1" customWidth="1"/>
    <col min="11784" max="12032" width="9.140625" style="480"/>
    <col min="12033" max="12033" width="4.5703125" style="480" customWidth="1"/>
    <col min="12034" max="12034" width="55.140625" style="480" customWidth="1"/>
    <col min="12035" max="12035" width="6.5703125" style="480" customWidth="1"/>
    <col min="12036" max="12036" width="7.5703125" style="480" customWidth="1"/>
    <col min="12037" max="12037" width="10" style="480" customWidth="1"/>
    <col min="12038" max="12038" width="10.140625" style="480" customWidth="1"/>
    <col min="12039" max="12039" width="9.5703125" style="480" bestFit="1" customWidth="1"/>
    <col min="12040" max="12288" width="9.140625" style="480"/>
    <col min="12289" max="12289" width="4.5703125" style="480" customWidth="1"/>
    <col min="12290" max="12290" width="55.140625" style="480" customWidth="1"/>
    <col min="12291" max="12291" width="6.5703125" style="480" customWidth="1"/>
    <col min="12292" max="12292" width="7.5703125" style="480" customWidth="1"/>
    <col min="12293" max="12293" width="10" style="480" customWidth="1"/>
    <col min="12294" max="12294" width="10.140625" style="480" customWidth="1"/>
    <col min="12295" max="12295" width="9.5703125" style="480" bestFit="1" customWidth="1"/>
    <col min="12296" max="12544" width="9.140625" style="480"/>
    <col min="12545" max="12545" width="4.5703125" style="480" customWidth="1"/>
    <col min="12546" max="12546" width="55.140625" style="480" customWidth="1"/>
    <col min="12547" max="12547" width="6.5703125" style="480" customWidth="1"/>
    <col min="12548" max="12548" width="7.5703125" style="480" customWidth="1"/>
    <col min="12549" max="12549" width="10" style="480" customWidth="1"/>
    <col min="12550" max="12550" width="10.140625" style="480" customWidth="1"/>
    <col min="12551" max="12551" width="9.5703125" style="480" bestFit="1" customWidth="1"/>
    <col min="12552" max="12800" width="9.140625" style="480"/>
    <col min="12801" max="12801" width="4.5703125" style="480" customWidth="1"/>
    <col min="12802" max="12802" width="55.140625" style="480" customWidth="1"/>
    <col min="12803" max="12803" width="6.5703125" style="480" customWidth="1"/>
    <col min="12804" max="12804" width="7.5703125" style="480" customWidth="1"/>
    <col min="12805" max="12805" width="10" style="480" customWidth="1"/>
    <col min="12806" max="12806" width="10.140625" style="480" customWidth="1"/>
    <col min="12807" max="12807" width="9.5703125" style="480" bestFit="1" customWidth="1"/>
    <col min="12808" max="13056" width="9.140625" style="480"/>
    <col min="13057" max="13057" width="4.5703125" style="480" customWidth="1"/>
    <col min="13058" max="13058" width="55.140625" style="480" customWidth="1"/>
    <col min="13059" max="13059" width="6.5703125" style="480" customWidth="1"/>
    <col min="13060" max="13060" width="7.5703125" style="480" customWidth="1"/>
    <col min="13061" max="13061" width="10" style="480" customWidth="1"/>
    <col min="13062" max="13062" width="10.140625" style="480" customWidth="1"/>
    <col min="13063" max="13063" width="9.5703125" style="480" bestFit="1" customWidth="1"/>
    <col min="13064" max="13312" width="9.140625" style="480"/>
    <col min="13313" max="13313" width="4.5703125" style="480" customWidth="1"/>
    <col min="13314" max="13314" width="55.140625" style="480" customWidth="1"/>
    <col min="13315" max="13315" width="6.5703125" style="480" customWidth="1"/>
    <col min="13316" max="13316" width="7.5703125" style="480" customWidth="1"/>
    <col min="13317" max="13317" width="10" style="480" customWidth="1"/>
    <col min="13318" max="13318" width="10.140625" style="480" customWidth="1"/>
    <col min="13319" max="13319" width="9.5703125" style="480" bestFit="1" customWidth="1"/>
    <col min="13320" max="13568" width="9.140625" style="480"/>
    <col min="13569" max="13569" width="4.5703125" style="480" customWidth="1"/>
    <col min="13570" max="13570" width="55.140625" style="480" customWidth="1"/>
    <col min="13571" max="13571" width="6.5703125" style="480" customWidth="1"/>
    <col min="13572" max="13572" width="7.5703125" style="480" customWidth="1"/>
    <col min="13573" max="13573" width="10" style="480" customWidth="1"/>
    <col min="13574" max="13574" width="10.140625" style="480" customWidth="1"/>
    <col min="13575" max="13575" width="9.5703125" style="480" bestFit="1" customWidth="1"/>
    <col min="13576" max="13824" width="9.140625" style="480"/>
    <col min="13825" max="13825" width="4.5703125" style="480" customWidth="1"/>
    <col min="13826" max="13826" width="55.140625" style="480" customWidth="1"/>
    <col min="13827" max="13827" width="6.5703125" style="480" customWidth="1"/>
    <col min="13828" max="13828" width="7.5703125" style="480" customWidth="1"/>
    <col min="13829" max="13829" width="10" style="480" customWidth="1"/>
    <col min="13830" max="13830" width="10.140625" style="480" customWidth="1"/>
    <col min="13831" max="13831" width="9.5703125" style="480" bestFit="1" customWidth="1"/>
    <col min="13832" max="14080" width="9.140625" style="480"/>
    <col min="14081" max="14081" width="4.5703125" style="480" customWidth="1"/>
    <col min="14082" max="14082" width="55.140625" style="480" customWidth="1"/>
    <col min="14083" max="14083" width="6.5703125" style="480" customWidth="1"/>
    <col min="14084" max="14084" width="7.5703125" style="480" customWidth="1"/>
    <col min="14085" max="14085" width="10" style="480" customWidth="1"/>
    <col min="14086" max="14086" width="10.140625" style="480" customWidth="1"/>
    <col min="14087" max="14087" width="9.5703125" style="480" bestFit="1" customWidth="1"/>
    <col min="14088" max="14336" width="9.140625" style="480"/>
    <col min="14337" max="14337" width="4.5703125" style="480" customWidth="1"/>
    <col min="14338" max="14338" width="55.140625" style="480" customWidth="1"/>
    <col min="14339" max="14339" width="6.5703125" style="480" customWidth="1"/>
    <col min="14340" max="14340" width="7.5703125" style="480" customWidth="1"/>
    <col min="14341" max="14341" width="10" style="480" customWidth="1"/>
    <col min="14342" max="14342" width="10.140625" style="480" customWidth="1"/>
    <col min="14343" max="14343" width="9.5703125" style="480" bestFit="1" customWidth="1"/>
    <col min="14344" max="14592" width="9.140625" style="480"/>
    <col min="14593" max="14593" width="4.5703125" style="480" customWidth="1"/>
    <col min="14594" max="14594" width="55.140625" style="480" customWidth="1"/>
    <col min="14595" max="14595" width="6.5703125" style="480" customWidth="1"/>
    <col min="14596" max="14596" width="7.5703125" style="480" customWidth="1"/>
    <col min="14597" max="14597" width="10" style="480" customWidth="1"/>
    <col min="14598" max="14598" width="10.140625" style="480" customWidth="1"/>
    <col min="14599" max="14599" width="9.5703125" style="480" bestFit="1" customWidth="1"/>
    <col min="14600" max="14848" width="9.140625" style="480"/>
    <col min="14849" max="14849" width="4.5703125" style="480" customWidth="1"/>
    <col min="14850" max="14850" width="55.140625" style="480" customWidth="1"/>
    <col min="14851" max="14851" width="6.5703125" style="480" customWidth="1"/>
    <col min="14852" max="14852" width="7.5703125" style="480" customWidth="1"/>
    <col min="14853" max="14853" width="10" style="480" customWidth="1"/>
    <col min="14854" max="14854" width="10.140625" style="480" customWidth="1"/>
    <col min="14855" max="14855" width="9.5703125" style="480" bestFit="1" customWidth="1"/>
    <col min="14856" max="15104" width="9.140625" style="480"/>
    <col min="15105" max="15105" width="4.5703125" style="480" customWidth="1"/>
    <col min="15106" max="15106" width="55.140625" style="480" customWidth="1"/>
    <col min="15107" max="15107" width="6.5703125" style="480" customWidth="1"/>
    <col min="15108" max="15108" width="7.5703125" style="480" customWidth="1"/>
    <col min="15109" max="15109" width="10" style="480" customWidth="1"/>
    <col min="15110" max="15110" width="10.140625" style="480" customWidth="1"/>
    <col min="15111" max="15111" width="9.5703125" style="480" bestFit="1" customWidth="1"/>
    <col min="15112" max="15360" width="9.140625" style="480"/>
    <col min="15361" max="15361" width="4.5703125" style="480" customWidth="1"/>
    <col min="15362" max="15362" width="55.140625" style="480" customWidth="1"/>
    <col min="15363" max="15363" width="6.5703125" style="480" customWidth="1"/>
    <col min="15364" max="15364" width="7.5703125" style="480" customWidth="1"/>
    <col min="15365" max="15365" width="10" style="480" customWidth="1"/>
    <col min="15366" max="15366" width="10.140625" style="480" customWidth="1"/>
    <col min="15367" max="15367" width="9.5703125" style="480" bestFit="1" customWidth="1"/>
    <col min="15368" max="15616" width="9.140625" style="480"/>
    <col min="15617" max="15617" width="4.5703125" style="480" customWidth="1"/>
    <col min="15618" max="15618" width="55.140625" style="480" customWidth="1"/>
    <col min="15619" max="15619" width="6.5703125" style="480" customWidth="1"/>
    <col min="15620" max="15620" width="7.5703125" style="480" customWidth="1"/>
    <col min="15621" max="15621" width="10" style="480" customWidth="1"/>
    <col min="15622" max="15622" width="10.140625" style="480" customWidth="1"/>
    <col min="15623" max="15623" width="9.5703125" style="480" bestFit="1" customWidth="1"/>
    <col min="15624" max="15872" width="9.140625" style="480"/>
    <col min="15873" max="15873" width="4.5703125" style="480" customWidth="1"/>
    <col min="15874" max="15874" width="55.140625" style="480" customWidth="1"/>
    <col min="15875" max="15875" width="6.5703125" style="480" customWidth="1"/>
    <col min="15876" max="15876" width="7.5703125" style="480" customWidth="1"/>
    <col min="15877" max="15877" width="10" style="480" customWidth="1"/>
    <col min="15878" max="15878" width="10.140625" style="480" customWidth="1"/>
    <col min="15879" max="15879" width="9.5703125" style="480" bestFit="1" customWidth="1"/>
    <col min="15880" max="16128" width="9.140625" style="480"/>
    <col min="16129" max="16129" width="4.5703125" style="480" customWidth="1"/>
    <col min="16130" max="16130" width="55.140625" style="480" customWidth="1"/>
    <col min="16131" max="16131" width="6.5703125" style="480" customWidth="1"/>
    <col min="16132" max="16132" width="7.5703125" style="480" customWidth="1"/>
    <col min="16133" max="16133" width="10" style="480" customWidth="1"/>
    <col min="16134" max="16134" width="10.140625" style="480" customWidth="1"/>
    <col min="16135" max="16135" width="9.5703125" style="480" bestFit="1" customWidth="1"/>
    <col min="16136" max="16384" width="9.140625" style="480"/>
  </cols>
  <sheetData>
    <row r="1" spans="1:7" ht="24" customHeight="1" x14ac:dyDescent="0.25">
      <c r="A1" s="479"/>
      <c r="B1" s="140" t="s">
        <v>248</v>
      </c>
      <c r="C1"/>
      <c r="D1"/>
      <c r="E1"/>
      <c r="F1"/>
      <c r="G1"/>
    </row>
    <row r="2" spans="1:7" x14ac:dyDescent="0.25">
      <c r="A2" s="371"/>
      <c r="B2" s="140" t="s">
        <v>29</v>
      </c>
      <c r="C2"/>
      <c r="D2" s="29"/>
      <c r="E2"/>
      <c r="F2" s="481"/>
      <c r="G2" s="481"/>
    </row>
    <row r="3" spans="1:7" x14ac:dyDescent="0.25">
      <c r="A3" s="371"/>
      <c r="B3"/>
      <c r="C3"/>
      <c r="D3" s="29"/>
      <c r="E3"/>
      <c r="F3" s="481"/>
      <c r="G3" s="481"/>
    </row>
    <row r="4" spans="1:7" x14ac:dyDescent="0.25">
      <c r="A4" s="371"/>
      <c r="B4"/>
      <c r="C4"/>
      <c r="D4" s="29"/>
      <c r="E4"/>
      <c r="F4" s="481"/>
      <c r="G4" s="481"/>
    </row>
    <row r="5" spans="1:7" x14ac:dyDescent="0.25">
      <c r="A5" s="749" t="s">
        <v>520</v>
      </c>
      <c r="B5" s="749"/>
      <c r="C5" s="749"/>
      <c r="D5" s="749"/>
      <c r="E5" s="749"/>
      <c r="F5" s="749"/>
    </row>
    <row r="6" spans="1:7" x14ac:dyDescent="0.25">
      <c r="A6" s="749" t="s">
        <v>674</v>
      </c>
      <c r="B6" s="749"/>
      <c r="C6" s="749"/>
      <c r="D6" s="749"/>
      <c r="E6" s="749"/>
      <c r="F6" s="749"/>
    </row>
    <row r="7" spans="1:7" hidden="1" x14ac:dyDescent="0.25">
      <c r="A7" s="510"/>
      <c r="B7" s="547" t="s">
        <v>11</v>
      </c>
      <c r="C7" s="10">
        <v>4.5019</v>
      </c>
      <c r="D7" s="508" t="s">
        <v>10</v>
      </c>
      <c r="E7" s="508"/>
      <c r="F7" s="509" t="s">
        <v>671</v>
      </c>
      <c r="G7" s="509"/>
    </row>
    <row r="8" spans="1:7" x14ac:dyDescent="0.25">
      <c r="A8" s="279" t="s">
        <v>675</v>
      </c>
      <c r="B8" s="279" t="s">
        <v>386</v>
      </c>
      <c r="C8" s="279" t="s">
        <v>37</v>
      </c>
      <c r="D8" s="279" t="s">
        <v>38</v>
      </c>
      <c r="E8" s="279" t="s">
        <v>39</v>
      </c>
      <c r="F8" s="279" t="s">
        <v>382</v>
      </c>
      <c r="G8" s="279" t="s">
        <v>382</v>
      </c>
    </row>
    <row r="9" spans="1:7" ht="18.75" thickBot="1" x14ac:dyDescent="0.3">
      <c r="A9" s="482" t="s">
        <v>676</v>
      </c>
      <c r="B9" s="482"/>
      <c r="C9" s="482"/>
      <c r="D9" s="482"/>
      <c r="E9" s="482"/>
      <c r="F9" s="482" t="s">
        <v>686</v>
      </c>
      <c r="G9" s="482" t="s">
        <v>243</v>
      </c>
    </row>
    <row r="10" spans="1:7" ht="18.75" thickBot="1" x14ac:dyDescent="0.3">
      <c r="A10" s="483">
        <v>1</v>
      </c>
      <c r="B10" s="79">
        <v>2</v>
      </c>
      <c r="C10" s="79">
        <v>3</v>
      </c>
      <c r="D10" s="79">
        <v>4</v>
      </c>
      <c r="E10" s="79">
        <v>5</v>
      </c>
      <c r="F10" s="484">
        <v>6</v>
      </c>
      <c r="G10" s="484">
        <v>7</v>
      </c>
    </row>
    <row r="11" spans="1:7" x14ac:dyDescent="0.25">
      <c r="A11" s="485">
        <v>1</v>
      </c>
      <c r="B11" s="486" t="s">
        <v>677</v>
      </c>
      <c r="C11" s="485" t="s">
        <v>47</v>
      </c>
      <c r="D11" s="485">
        <v>1</v>
      </c>
      <c r="E11" s="487">
        <f>2330*C7</f>
        <v>10489.427</v>
      </c>
      <c r="F11" s="488">
        <f>E11*D11</f>
        <v>10489.427</v>
      </c>
      <c r="G11" s="488">
        <f>F11/C7</f>
        <v>2330</v>
      </c>
    </row>
    <row r="12" spans="1:7" x14ac:dyDescent="0.25">
      <c r="A12" s="770" t="s">
        <v>687</v>
      </c>
      <c r="B12" s="770"/>
      <c r="C12" s="770"/>
      <c r="D12" s="770"/>
      <c r="E12" s="770"/>
      <c r="F12" s="635">
        <f>SUM(F11:F11)</f>
        <v>10489.427</v>
      </c>
      <c r="G12" s="489">
        <f>SUM(G11:G11)</f>
        <v>2330</v>
      </c>
    </row>
    <row r="13" spans="1:7" x14ac:dyDescent="0.25">
      <c r="A13" s="490"/>
      <c r="B13" s="372"/>
      <c r="C13" s="490"/>
      <c r="D13" s="490"/>
      <c r="E13" s="491"/>
      <c r="F13" s="492"/>
      <c r="G13" s="492"/>
    </row>
    <row r="14" spans="1:7" x14ac:dyDescent="0.25">
      <c r="A14" s="490"/>
      <c r="B14" s="372"/>
      <c r="C14" s="490"/>
      <c r="D14" s="490"/>
      <c r="E14" s="491"/>
      <c r="F14" s="492"/>
      <c r="G14" s="492"/>
    </row>
    <row r="15" spans="1:7" x14ac:dyDescent="0.25">
      <c r="A15" s="27"/>
      <c r="C15" s="27"/>
      <c r="D15" s="27"/>
      <c r="E15" s="493"/>
      <c r="F15" s="494"/>
      <c r="G15" s="494"/>
    </row>
    <row r="16" spans="1:7" x14ac:dyDescent="0.25">
      <c r="A16" s="749" t="s">
        <v>520</v>
      </c>
      <c r="B16" s="749"/>
      <c r="C16" s="749"/>
      <c r="D16" s="749"/>
      <c r="E16" s="749"/>
      <c r="F16" s="749"/>
    </row>
    <row r="17" spans="1:12" x14ac:dyDescent="0.25">
      <c r="A17" s="749" t="s">
        <v>678</v>
      </c>
      <c r="B17" s="749"/>
      <c r="C17" s="749"/>
      <c r="D17" s="749"/>
      <c r="E17" s="749"/>
      <c r="F17" s="749"/>
    </row>
    <row r="18" spans="1:12" x14ac:dyDescent="0.25">
      <c r="A18" s="495" t="s">
        <v>675</v>
      </c>
      <c r="B18" s="495" t="s">
        <v>386</v>
      </c>
      <c r="C18" s="495" t="s">
        <v>37</v>
      </c>
      <c r="D18" s="495" t="s">
        <v>38</v>
      </c>
      <c r="E18" s="495" t="s">
        <v>39</v>
      </c>
      <c r="F18" s="495" t="s">
        <v>382</v>
      </c>
      <c r="G18" s="495" t="s">
        <v>382</v>
      </c>
    </row>
    <row r="19" spans="1:12" ht="18.75" thickBot="1" x14ac:dyDescent="0.3">
      <c r="A19" s="496" t="s">
        <v>676</v>
      </c>
      <c r="B19" s="496"/>
      <c r="C19" s="496"/>
      <c r="D19" s="496"/>
      <c r="E19" s="496"/>
      <c r="F19" s="482" t="s">
        <v>686</v>
      </c>
      <c r="G19" s="496" t="s">
        <v>243</v>
      </c>
    </row>
    <row r="20" spans="1:12" s="497" customFormat="1" ht="13.5" thickBot="1" x14ac:dyDescent="0.25">
      <c r="A20" s="483">
        <v>1</v>
      </c>
      <c r="B20" s="79">
        <v>2</v>
      </c>
      <c r="C20" s="79">
        <v>3</v>
      </c>
      <c r="D20" s="79">
        <v>4</v>
      </c>
      <c r="E20" s="79">
        <v>5</v>
      </c>
      <c r="F20" s="484">
        <v>6</v>
      </c>
      <c r="G20" s="484">
        <v>7</v>
      </c>
    </row>
    <row r="21" spans="1:12" x14ac:dyDescent="0.25">
      <c r="A21" s="485">
        <v>1</v>
      </c>
      <c r="B21" s="486" t="s">
        <v>679</v>
      </c>
      <c r="C21" s="485" t="s">
        <v>47</v>
      </c>
      <c r="D21" s="485">
        <v>1</v>
      </c>
      <c r="E21" s="487">
        <f>720*C7</f>
        <v>3241.3679999999999</v>
      </c>
      <c r="F21" s="488">
        <f>E21*D21</f>
        <v>3241.3679999999999</v>
      </c>
      <c r="G21" s="488">
        <f>F21/C7</f>
        <v>720</v>
      </c>
    </row>
    <row r="22" spans="1:12" x14ac:dyDescent="0.25">
      <c r="A22" s="770" t="s">
        <v>687</v>
      </c>
      <c r="B22" s="770"/>
      <c r="C22" s="770"/>
      <c r="D22" s="770"/>
      <c r="E22" s="770"/>
      <c r="F22" s="635">
        <f>SUM(F21:F21)</f>
        <v>3241.3679999999999</v>
      </c>
      <c r="G22" s="489">
        <f>SUM(G21:G21)</f>
        <v>720</v>
      </c>
      <c r="L22" s="634"/>
    </row>
    <row r="24" spans="1:12" x14ac:dyDescent="0.25">
      <c r="B24" s="136" t="s">
        <v>554</v>
      </c>
    </row>
    <row r="25" spans="1:12" x14ac:dyDescent="0.25">
      <c r="B25" s="137" t="s">
        <v>813</v>
      </c>
    </row>
  </sheetData>
  <mergeCells count="6">
    <mergeCell ref="A22:E22"/>
    <mergeCell ref="A5:F5"/>
    <mergeCell ref="A6:F6"/>
    <mergeCell ref="A12:E12"/>
    <mergeCell ref="A16:F16"/>
    <mergeCell ref="A17:F17"/>
  </mergeCells>
  <pageMargins left="0.7" right="0.7" top="0.75" bottom="0.75" header="0.3" footer="0.3"/>
  <pageSetup paperSize="9" scale="9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1"/>
  <sheetViews>
    <sheetView tabSelected="1" topLeftCell="B70" workbookViewId="0">
      <selection activeCell="I53" sqref="I53"/>
    </sheetView>
  </sheetViews>
  <sheetFormatPr defaultRowHeight="15" x14ac:dyDescent="0.2"/>
  <cols>
    <col min="1" max="1" width="5" style="26" customWidth="1"/>
    <col min="2" max="2" width="53.42578125" style="26" customWidth="1"/>
    <col min="3" max="4" width="15.7109375" style="26" customWidth="1"/>
    <col min="5" max="5" width="20.140625" style="26" customWidth="1"/>
    <col min="6" max="6" width="19.85546875" style="649" customWidth="1"/>
    <col min="7" max="7" width="21.28515625" style="26" customWidth="1"/>
    <col min="8" max="8" width="9.140625" style="26"/>
    <col min="9" max="9" width="18.7109375" style="26" customWidth="1"/>
    <col min="10" max="16384" width="9.140625" style="26"/>
  </cols>
  <sheetData>
    <row r="1" spans="1:7" ht="15.75" x14ac:dyDescent="0.2">
      <c r="A1" s="788" t="s">
        <v>9</v>
      </c>
      <c r="B1" s="788"/>
      <c r="E1" s="548" t="s">
        <v>716</v>
      </c>
    </row>
    <row r="2" spans="1:7" x14ac:dyDescent="0.2">
      <c r="A2" s="788" t="s">
        <v>689</v>
      </c>
      <c r="B2" s="788"/>
      <c r="E2" s="555" t="s">
        <v>690</v>
      </c>
    </row>
    <row r="3" spans="1:7" x14ac:dyDescent="0.2">
      <c r="A3" s="789"/>
      <c r="B3" s="789"/>
      <c r="E3" s="555"/>
    </row>
    <row r="4" spans="1:7" x14ac:dyDescent="0.2">
      <c r="A4" s="647"/>
      <c r="B4" s="647"/>
    </row>
    <row r="5" spans="1:7" ht="18" x14ac:dyDescent="0.2">
      <c r="A5" s="790" t="s">
        <v>822</v>
      </c>
      <c r="B5" s="790"/>
      <c r="C5" s="790"/>
      <c r="D5" s="790"/>
      <c r="E5" s="790"/>
    </row>
    <row r="6" spans="1:7" x14ac:dyDescent="0.2">
      <c r="A6" s="791" t="s">
        <v>718</v>
      </c>
      <c r="B6" s="791"/>
      <c r="C6" s="791"/>
      <c r="D6" s="791"/>
      <c r="E6" s="791"/>
    </row>
    <row r="7" spans="1:7" x14ac:dyDescent="0.2">
      <c r="A7" s="792" t="s">
        <v>802</v>
      </c>
      <c r="B7" s="792"/>
      <c r="C7" s="792"/>
      <c r="D7" s="792"/>
      <c r="E7" s="792"/>
    </row>
    <row r="8" spans="1:7" x14ac:dyDescent="0.2">
      <c r="A8" s="792" t="s">
        <v>803</v>
      </c>
      <c r="B8" s="792"/>
      <c r="C8" s="792"/>
      <c r="D8" s="792"/>
      <c r="E8" s="792"/>
    </row>
    <row r="9" spans="1:7" x14ac:dyDescent="0.2">
      <c r="A9" s="648"/>
      <c r="B9" s="648"/>
      <c r="C9" s="648"/>
      <c r="D9" s="648"/>
      <c r="E9" s="648"/>
    </row>
    <row r="10" spans="1:7" ht="30" x14ac:dyDescent="0.2">
      <c r="A10" s="793" t="s">
        <v>0</v>
      </c>
      <c r="B10" s="795" t="s">
        <v>12</v>
      </c>
      <c r="C10" s="656" t="s">
        <v>719</v>
      </c>
      <c r="D10" s="657" t="s">
        <v>1</v>
      </c>
      <c r="E10" s="658" t="s">
        <v>692</v>
      </c>
      <c r="F10" s="659" t="s">
        <v>817</v>
      </c>
      <c r="G10" s="659" t="s">
        <v>818</v>
      </c>
    </row>
    <row r="11" spans="1:7" x14ac:dyDescent="0.2">
      <c r="A11" s="794"/>
      <c r="B11" s="795"/>
      <c r="C11" s="657" t="s">
        <v>693</v>
      </c>
      <c r="D11" s="657" t="s">
        <v>693</v>
      </c>
      <c r="E11" s="657" t="s">
        <v>693</v>
      </c>
      <c r="F11" s="660"/>
      <c r="G11" s="661"/>
    </row>
    <row r="12" spans="1:7" x14ac:dyDescent="0.2">
      <c r="A12" s="662">
        <v>1</v>
      </c>
      <c r="B12" s="662">
        <v>2</v>
      </c>
      <c r="C12" s="662">
        <v>3</v>
      </c>
      <c r="D12" s="662">
        <v>4</v>
      </c>
      <c r="E12" s="662">
        <v>5</v>
      </c>
      <c r="F12" s="663">
        <v>6</v>
      </c>
      <c r="G12" s="664">
        <v>7</v>
      </c>
    </row>
    <row r="13" spans="1:7" ht="15.75" x14ac:dyDescent="0.2">
      <c r="A13" s="772" t="s">
        <v>13</v>
      </c>
      <c r="B13" s="773"/>
      <c r="C13" s="773"/>
      <c r="D13" s="773"/>
      <c r="E13" s="774"/>
      <c r="F13" s="665"/>
      <c r="G13" s="661"/>
    </row>
    <row r="14" spans="1:7" ht="15.75" x14ac:dyDescent="0.2">
      <c r="A14" s="775" t="s">
        <v>14</v>
      </c>
      <c r="B14" s="776"/>
      <c r="C14" s="776"/>
      <c r="D14" s="776"/>
      <c r="E14" s="777"/>
      <c r="F14" s="665"/>
      <c r="G14" s="661"/>
    </row>
    <row r="15" spans="1:7" x14ac:dyDescent="0.2">
      <c r="A15" s="666">
        <v>1.1000000000000001</v>
      </c>
      <c r="B15" s="667" t="s">
        <v>15</v>
      </c>
      <c r="C15" s="577"/>
      <c r="D15" s="577"/>
      <c r="E15" s="577"/>
      <c r="F15" s="650"/>
      <c r="G15" s="668">
        <v>0</v>
      </c>
    </row>
    <row r="16" spans="1:7" x14ac:dyDescent="0.2">
      <c r="A16" s="669">
        <v>1.2</v>
      </c>
      <c r="B16" s="670" t="s">
        <v>2</v>
      </c>
      <c r="C16" s="579">
        <v>54091.72</v>
      </c>
      <c r="D16" s="579">
        <f>SUM(D17:D19)</f>
        <v>10277.419999999998</v>
      </c>
      <c r="E16" s="579">
        <f>SUM(E17:E19)</f>
        <v>64369.14</v>
      </c>
      <c r="F16" s="655">
        <f>E16</f>
        <v>64369.14</v>
      </c>
      <c r="G16" s="668">
        <v>0</v>
      </c>
    </row>
    <row r="17" spans="1:7" hidden="1" x14ac:dyDescent="0.2">
      <c r="A17" s="671"/>
      <c r="B17" s="672" t="s">
        <v>720</v>
      </c>
      <c r="C17" s="587">
        <v>0</v>
      </c>
      <c r="D17" s="587">
        <f>ROUND(0.19*C17,2)</f>
        <v>0</v>
      </c>
      <c r="E17" s="587">
        <f>C17+D17</f>
        <v>0</v>
      </c>
      <c r="F17" s="655">
        <f t="shared" ref="F17:F22" si="0">E17</f>
        <v>0</v>
      </c>
      <c r="G17" s="668">
        <v>0</v>
      </c>
    </row>
    <row r="18" spans="1:7" x14ac:dyDescent="0.2">
      <c r="A18" s="671"/>
      <c r="B18" s="672" t="s">
        <v>721</v>
      </c>
      <c r="C18" s="587">
        <v>10470.86</v>
      </c>
      <c r="D18" s="587">
        <f t="shared" ref="D18:D19" si="1">ROUND(0.19*C18,2)</f>
        <v>1989.46</v>
      </c>
      <c r="E18" s="587">
        <f t="shared" ref="E18:E19" si="2">C18+D18</f>
        <v>12460.32</v>
      </c>
      <c r="F18" s="655">
        <f t="shared" si="0"/>
        <v>12460.32</v>
      </c>
      <c r="G18" s="668">
        <v>0</v>
      </c>
    </row>
    <row r="19" spans="1:7" x14ac:dyDescent="0.2">
      <c r="A19" s="671"/>
      <c r="B19" s="672" t="s">
        <v>722</v>
      </c>
      <c r="C19" s="587">
        <v>43620.86</v>
      </c>
      <c r="D19" s="587">
        <f t="shared" si="1"/>
        <v>8287.9599999999991</v>
      </c>
      <c r="E19" s="587">
        <f t="shared" si="2"/>
        <v>51908.82</v>
      </c>
      <c r="F19" s="655">
        <f t="shared" si="0"/>
        <v>51908.82</v>
      </c>
      <c r="G19" s="668">
        <v>0</v>
      </c>
    </row>
    <row r="20" spans="1:7" ht="30" x14ac:dyDescent="0.2">
      <c r="A20" s="673">
        <v>1.3</v>
      </c>
      <c r="B20" s="674" t="s">
        <v>723</v>
      </c>
      <c r="C20" s="588">
        <v>3083.46</v>
      </c>
      <c r="D20" s="588">
        <f>ROUND(C20*0.19,2)</f>
        <v>585.86</v>
      </c>
      <c r="E20" s="588">
        <f>C20+D20</f>
        <v>3669.32</v>
      </c>
      <c r="F20" s="655">
        <f t="shared" si="0"/>
        <v>3669.32</v>
      </c>
      <c r="G20" s="668">
        <v>0</v>
      </c>
    </row>
    <row r="21" spans="1:7" x14ac:dyDescent="0.2">
      <c r="A21" s="673">
        <v>1.4</v>
      </c>
      <c r="B21" s="674" t="s">
        <v>724</v>
      </c>
      <c r="C21" s="588"/>
      <c r="D21" s="588"/>
      <c r="E21" s="588"/>
      <c r="F21" s="655">
        <f t="shared" si="0"/>
        <v>0</v>
      </c>
      <c r="G21" s="668">
        <v>0</v>
      </c>
    </row>
    <row r="22" spans="1:7" ht="15.75" x14ac:dyDescent="0.25">
      <c r="A22" s="785" t="s">
        <v>3</v>
      </c>
      <c r="B22" s="785"/>
      <c r="C22" s="16">
        <f>C15+C16+C20+C21</f>
        <v>57175.18</v>
      </c>
      <c r="D22" s="16">
        <f t="shared" ref="D22:E22" si="3">D15+D16+D20+D21</f>
        <v>10863.279999999999</v>
      </c>
      <c r="E22" s="16">
        <f t="shared" si="3"/>
        <v>68038.460000000006</v>
      </c>
      <c r="F22" s="820">
        <f t="shared" si="0"/>
        <v>68038.460000000006</v>
      </c>
      <c r="G22" s="675">
        <v>0</v>
      </c>
    </row>
    <row r="23" spans="1:7" ht="15.75" x14ac:dyDescent="0.2">
      <c r="A23" s="772" t="s">
        <v>16</v>
      </c>
      <c r="B23" s="773"/>
      <c r="C23" s="773"/>
      <c r="D23" s="773"/>
      <c r="E23" s="774"/>
      <c r="F23" s="665"/>
      <c r="G23" s="661"/>
    </row>
    <row r="24" spans="1:7" ht="15.75" x14ac:dyDescent="0.2">
      <c r="A24" s="775" t="s">
        <v>17</v>
      </c>
      <c r="B24" s="776"/>
      <c r="C24" s="776"/>
      <c r="D24" s="776"/>
      <c r="E24" s="777"/>
      <c r="F24" s="665"/>
      <c r="G24" s="661"/>
    </row>
    <row r="25" spans="1:7" x14ac:dyDescent="0.2">
      <c r="A25" s="666">
        <v>2.1</v>
      </c>
      <c r="B25" s="667" t="s">
        <v>26</v>
      </c>
      <c r="C25" s="577">
        <v>14629.9</v>
      </c>
      <c r="D25" s="577">
        <f>ROUND(C25*0.19,2)</f>
        <v>2779.68</v>
      </c>
      <c r="E25" s="577">
        <f>C25+D25</f>
        <v>17409.579999999998</v>
      </c>
      <c r="F25" s="650">
        <v>0</v>
      </c>
      <c r="G25" s="654">
        <f>E25</f>
        <v>17409.579999999998</v>
      </c>
    </row>
    <row r="26" spans="1:7" x14ac:dyDescent="0.2">
      <c r="A26" s="669">
        <v>2.2000000000000002</v>
      </c>
      <c r="B26" s="676" t="s">
        <v>27</v>
      </c>
      <c r="C26" s="579">
        <v>85066.23</v>
      </c>
      <c r="D26" s="579">
        <f>ROUND(C26*0.19,2)</f>
        <v>16162.58</v>
      </c>
      <c r="E26" s="579">
        <f>C26+D26</f>
        <v>101228.81</v>
      </c>
      <c r="F26" s="650">
        <v>0</v>
      </c>
      <c r="G26" s="654">
        <f t="shared" ref="G26:G27" si="4">E26</f>
        <v>101228.81</v>
      </c>
    </row>
    <row r="27" spans="1:7" ht="15.75" x14ac:dyDescent="0.25">
      <c r="A27" s="785" t="s">
        <v>4</v>
      </c>
      <c r="B27" s="785"/>
      <c r="C27" s="16">
        <f>SUM(C25:C26)</f>
        <v>99696.12999999999</v>
      </c>
      <c r="D27" s="16">
        <f t="shared" ref="D27:E27" si="5">SUM(D25:D26)</f>
        <v>18942.259999999998</v>
      </c>
      <c r="E27" s="16">
        <f t="shared" si="5"/>
        <v>118638.39</v>
      </c>
      <c r="F27" s="677">
        <v>0</v>
      </c>
      <c r="G27" s="821">
        <f t="shared" si="4"/>
        <v>118638.39</v>
      </c>
    </row>
    <row r="28" spans="1:7" ht="15.75" x14ac:dyDescent="0.2">
      <c r="A28" s="772" t="s">
        <v>18</v>
      </c>
      <c r="B28" s="773"/>
      <c r="C28" s="773"/>
      <c r="D28" s="773"/>
      <c r="E28" s="774"/>
      <c r="F28" s="665"/>
      <c r="G28" s="661"/>
    </row>
    <row r="29" spans="1:7" ht="15.75" x14ac:dyDescent="0.2">
      <c r="A29" s="775" t="s">
        <v>19</v>
      </c>
      <c r="B29" s="776"/>
      <c r="C29" s="776"/>
      <c r="D29" s="776"/>
      <c r="E29" s="777"/>
      <c r="F29" s="665"/>
      <c r="G29" s="661"/>
    </row>
    <row r="30" spans="1:7" x14ac:dyDescent="0.2">
      <c r="A30" s="666">
        <v>3.1</v>
      </c>
      <c r="B30" s="667" t="s">
        <v>725</v>
      </c>
      <c r="C30" s="577">
        <f>SUM(C31:C33)</f>
        <v>9000</v>
      </c>
      <c r="D30" s="577">
        <f t="shared" ref="D30:E30" si="6">SUM(D31:D33)</f>
        <v>1710</v>
      </c>
      <c r="E30" s="577">
        <f t="shared" si="6"/>
        <v>10710</v>
      </c>
      <c r="F30" s="651">
        <v>10710</v>
      </c>
      <c r="G30" s="668">
        <v>0</v>
      </c>
    </row>
    <row r="31" spans="1:7" x14ac:dyDescent="0.2">
      <c r="A31" s="671"/>
      <c r="B31" s="672" t="s">
        <v>726</v>
      </c>
      <c r="C31" s="587">
        <v>9000</v>
      </c>
      <c r="D31" s="587">
        <f>ROUND(C31*0.19,2)</f>
        <v>1710</v>
      </c>
      <c r="E31" s="587">
        <f>C31+D31</f>
        <v>10710</v>
      </c>
      <c r="F31" s="651">
        <v>10710</v>
      </c>
      <c r="G31" s="668">
        <v>0</v>
      </c>
    </row>
    <row r="32" spans="1:7" x14ac:dyDescent="0.2">
      <c r="A32" s="671"/>
      <c r="B32" s="672" t="s">
        <v>727</v>
      </c>
      <c r="C32" s="587"/>
      <c r="D32" s="587"/>
      <c r="E32" s="587"/>
      <c r="F32" s="650"/>
      <c r="G32" s="668"/>
    </row>
    <row r="33" spans="1:7" x14ac:dyDescent="0.2">
      <c r="A33" s="671"/>
      <c r="B33" s="672" t="s">
        <v>728</v>
      </c>
      <c r="C33" s="587"/>
      <c r="D33" s="587"/>
      <c r="E33" s="587"/>
      <c r="F33" s="650"/>
      <c r="G33" s="668"/>
    </row>
    <row r="34" spans="1:7" ht="30" x14ac:dyDescent="0.2">
      <c r="A34" s="669">
        <v>3.2</v>
      </c>
      <c r="B34" s="676" t="s">
        <v>729</v>
      </c>
      <c r="C34" s="579">
        <v>6300</v>
      </c>
      <c r="D34" s="587">
        <f t="shared" ref="D34:D36" si="7">ROUND(C34*0.19,2)</f>
        <v>1197</v>
      </c>
      <c r="E34" s="579">
        <f>C34+D34</f>
        <v>7497</v>
      </c>
      <c r="F34" s="651">
        <v>7497</v>
      </c>
      <c r="G34" s="668">
        <v>0</v>
      </c>
    </row>
    <row r="35" spans="1:7" x14ac:dyDescent="0.2">
      <c r="A35" s="669">
        <v>3.3</v>
      </c>
      <c r="B35" s="670" t="s">
        <v>730</v>
      </c>
      <c r="C35" s="579">
        <v>4000</v>
      </c>
      <c r="D35" s="587">
        <f t="shared" si="7"/>
        <v>760</v>
      </c>
      <c r="E35" s="579">
        <f>C35+D35</f>
        <v>4760</v>
      </c>
      <c r="F35" s="651">
        <v>4760</v>
      </c>
      <c r="G35" s="668">
        <v>0</v>
      </c>
    </row>
    <row r="36" spans="1:7" ht="30" x14ac:dyDescent="0.2">
      <c r="A36" s="678">
        <v>3.4</v>
      </c>
      <c r="B36" s="676" t="s">
        <v>731</v>
      </c>
      <c r="C36" s="579">
        <v>5000</v>
      </c>
      <c r="D36" s="587">
        <f t="shared" si="7"/>
        <v>950</v>
      </c>
      <c r="E36" s="579">
        <f>C36+D36</f>
        <v>5950</v>
      </c>
      <c r="F36" s="651">
        <v>5950</v>
      </c>
      <c r="G36" s="668">
        <v>0</v>
      </c>
    </row>
    <row r="37" spans="1:7" x14ac:dyDescent="0.2">
      <c r="A37" s="669">
        <v>3.5</v>
      </c>
      <c r="B37" s="672" t="s">
        <v>732</v>
      </c>
      <c r="C37" s="587">
        <f>SUM(C38:C43)</f>
        <v>87850</v>
      </c>
      <c r="D37" s="587">
        <f t="shared" ref="D37:E37" si="8">SUM(D38:D43)</f>
        <v>16691.5</v>
      </c>
      <c r="E37" s="587">
        <f t="shared" si="8"/>
        <v>104541.5</v>
      </c>
      <c r="F37" s="651">
        <v>104541.5</v>
      </c>
      <c r="G37" s="668"/>
    </row>
    <row r="38" spans="1:7" x14ac:dyDescent="0.2">
      <c r="A38" s="669"/>
      <c r="B38" s="672" t="s">
        <v>733</v>
      </c>
      <c r="C38" s="587"/>
      <c r="D38" s="579"/>
      <c r="E38" s="579"/>
      <c r="F38" s="650"/>
      <c r="G38" s="668"/>
    </row>
    <row r="39" spans="1:7" x14ac:dyDescent="0.2">
      <c r="A39" s="669"/>
      <c r="B39" s="672" t="s">
        <v>734</v>
      </c>
      <c r="C39" s="587">
        <v>38000</v>
      </c>
      <c r="D39" s="579">
        <f>ROUND(C39*0.19,2)</f>
        <v>7220</v>
      </c>
      <c r="E39" s="579">
        <f t="shared" ref="E39:E44" si="9">C39+D39</f>
        <v>45220</v>
      </c>
      <c r="F39" s="651">
        <v>45220</v>
      </c>
      <c r="G39" s="679">
        <v>0</v>
      </c>
    </row>
    <row r="40" spans="1:7" ht="30" x14ac:dyDescent="0.2">
      <c r="A40" s="669"/>
      <c r="B40" s="680" t="s">
        <v>735</v>
      </c>
      <c r="C40" s="587"/>
      <c r="D40" s="579"/>
      <c r="E40" s="579"/>
      <c r="F40" s="650"/>
      <c r="G40" s="679"/>
    </row>
    <row r="41" spans="1:7" ht="30" x14ac:dyDescent="0.2">
      <c r="A41" s="669"/>
      <c r="B41" s="680" t="s">
        <v>736</v>
      </c>
      <c r="C41" s="587">
        <v>12000</v>
      </c>
      <c r="D41" s="579">
        <f t="shared" ref="D41:D44" si="10">ROUND(C41*0.19,2)</f>
        <v>2280</v>
      </c>
      <c r="E41" s="579">
        <f t="shared" si="9"/>
        <v>14280</v>
      </c>
      <c r="F41" s="651">
        <v>14280</v>
      </c>
      <c r="G41" s="679">
        <v>0</v>
      </c>
    </row>
    <row r="42" spans="1:7" ht="30" x14ac:dyDescent="0.2">
      <c r="A42" s="669"/>
      <c r="B42" s="680" t="s">
        <v>737</v>
      </c>
      <c r="C42" s="587">
        <v>7000</v>
      </c>
      <c r="D42" s="579">
        <f t="shared" si="10"/>
        <v>1330</v>
      </c>
      <c r="E42" s="579">
        <f t="shared" si="9"/>
        <v>8330</v>
      </c>
      <c r="F42" s="650">
        <v>0</v>
      </c>
      <c r="G42" s="654">
        <v>8330</v>
      </c>
    </row>
    <row r="43" spans="1:7" x14ac:dyDescent="0.2">
      <c r="A43" s="669"/>
      <c r="B43" s="672" t="s">
        <v>738</v>
      </c>
      <c r="C43" s="587">
        <v>30850</v>
      </c>
      <c r="D43" s="579">
        <f t="shared" si="10"/>
        <v>5861.5</v>
      </c>
      <c r="E43" s="579">
        <f t="shared" si="9"/>
        <v>36711.5</v>
      </c>
      <c r="F43" s="651">
        <v>36711.5</v>
      </c>
      <c r="G43" s="679">
        <v>0</v>
      </c>
    </row>
    <row r="44" spans="1:7" x14ac:dyDescent="0.2">
      <c r="A44" s="669">
        <v>3.6</v>
      </c>
      <c r="B44" s="676" t="s">
        <v>739</v>
      </c>
      <c r="C44" s="579">
        <v>8240</v>
      </c>
      <c r="D44" s="579">
        <f t="shared" si="10"/>
        <v>1565.6</v>
      </c>
      <c r="E44" s="579">
        <f t="shared" si="9"/>
        <v>9805.6</v>
      </c>
      <c r="F44" s="651">
        <v>9805.6</v>
      </c>
      <c r="G44" s="679">
        <v>0</v>
      </c>
    </row>
    <row r="45" spans="1:7" x14ac:dyDescent="0.2">
      <c r="A45" s="669">
        <v>3.7</v>
      </c>
      <c r="B45" s="672" t="s">
        <v>740</v>
      </c>
      <c r="C45" s="587">
        <f>SUM(C46:C47)</f>
        <v>0</v>
      </c>
      <c r="D45" s="587">
        <f t="shared" ref="D45:E45" si="11">SUM(D46:D47)</f>
        <v>0</v>
      </c>
      <c r="E45" s="587">
        <f t="shared" si="11"/>
        <v>0</v>
      </c>
      <c r="F45" s="650">
        <v>0</v>
      </c>
      <c r="G45" s="679">
        <v>0</v>
      </c>
    </row>
    <row r="46" spans="1:7" ht="30" x14ac:dyDescent="0.2">
      <c r="A46" s="669"/>
      <c r="B46" s="680" t="s">
        <v>741</v>
      </c>
      <c r="C46" s="587">
        <v>0</v>
      </c>
      <c r="D46" s="579">
        <f>ROUND(C46*0.19,2)</f>
        <v>0</v>
      </c>
      <c r="E46" s="579">
        <f>C46+D46</f>
        <v>0</v>
      </c>
      <c r="F46" s="650">
        <v>0</v>
      </c>
      <c r="G46" s="679">
        <v>0</v>
      </c>
    </row>
    <row r="47" spans="1:7" x14ac:dyDescent="0.2">
      <c r="A47" s="669"/>
      <c r="B47" s="672" t="s">
        <v>742</v>
      </c>
      <c r="C47" s="587"/>
      <c r="D47" s="579"/>
      <c r="E47" s="579"/>
      <c r="F47" s="650"/>
      <c r="G47" s="679"/>
    </row>
    <row r="48" spans="1:7" x14ac:dyDescent="0.2">
      <c r="A48" s="669">
        <v>3.8</v>
      </c>
      <c r="B48" s="672" t="s">
        <v>743</v>
      </c>
      <c r="C48" s="587">
        <f>SUM(C49:C52)</f>
        <v>45000</v>
      </c>
      <c r="D48" s="587">
        <f>SUM(D49:D52)</f>
        <v>8550</v>
      </c>
      <c r="E48" s="587">
        <f>E49+E52</f>
        <v>53550</v>
      </c>
      <c r="F48" s="651">
        <v>53550</v>
      </c>
      <c r="G48" s="679">
        <v>0</v>
      </c>
    </row>
    <row r="49" spans="1:7" x14ac:dyDescent="0.2">
      <c r="A49" s="669"/>
      <c r="B49" s="672" t="s">
        <v>744</v>
      </c>
      <c r="C49" s="587">
        <v>16000</v>
      </c>
      <c r="D49" s="579">
        <f>ROUND(C49*0.19,)</f>
        <v>3040</v>
      </c>
      <c r="E49" s="579">
        <f>C49+D49</f>
        <v>19040</v>
      </c>
      <c r="F49" s="651">
        <v>19040</v>
      </c>
      <c r="G49" s="668">
        <v>0</v>
      </c>
    </row>
    <row r="50" spans="1:7" x14ac:dyDescent="0.2">
      <c r="A50" s="669"/>
      <c r="B50" s="672" t="s">
        <v>745</v>
      </c>
      <c r="C50" s="587"/>
      <c r="D50" s="579"/>
      <c r="E50" s="579"/>
      <c r="F50" s="650"/>
      <c r="G50" s="668">
        <v>0</v>
      </c>
    </row>
    <row r="51" spans="1:7" ht="45" x14ac:dyDescent="0.2">
      <c r="A51" s="669"/>
      <c r="B51" s="680" t="s">
        <v>746</v>
      </c>
      <c r="C51" s="587"/>
      <c r="D51" s="579"/>
      <c r="E51" s="579"/>
      <c r="F51" s="650"/>
      <c r="G51" s="668">
        <v>0</v>
      </c>
    </row>
    <row r="52" spans="1:7" x14ac:dyDescent="0.2">
      <c r="A52" s="669"/>
      <c r="B52" s="676" t="s">
        <v>747</v>
      </c>
      <c r="C52" s="579">
        <v>29000</v>
      </c>
      <c r="D52" s="579">
        <f>ROUND(0.19*C52,2)</f>
        <v>5510</v>
      </c>
      <c r="E52" s="579">
        <f>C52+D52</f>
        <v>34510</v>
      </c>
      <c r="F52" s="651">
        <v>34510</v>
      </c>
      <c r="G52" s="668">
        <v>0</v>
      </c>
    </row>
    <row r="53" spans="1:7" ht="15.75" x14ac:dyDescent="0.25">
      <c r="A53" s="786" t="s">
        <v>5</v>
      </c>
      <c r="B53" s="787"/>
      <c r="C53" s="16">
        <f>C30+C34+C35+C36+C37+C44+C45+C48</f>
        <v>165390</v>
      </c>
      <c r="D53" s="16">
        <f t="shared" ref="D53:E53" si="12">D30+D34+D35+D36+D37+D44+D45+D48</f>
        <v>31424.1</v>
      </c>
      <c r="E53" s="16">
        <f t="shared" si="12"/>
        <v>196814.1</v>
      </c>
      <c r="F53" s="681">
        <v>188484.1</v>
      </c>
      <c r="G53" s="682">
        <f>G42</f>
        <v>8330</v>
      </c>
    </row>
    <row r="54" spans="1:7" ht="15.75" x14ac:dyDescent="0.2">
      <c r="A54" s="772" t="s">
        <v>20</v>
      </c>
      <c r="B54" s="773"/>
      <c r="C54" s="773"/>
      <c r="D54" s="773"/>
      <c r="E54" s="774"/>
      <c r="F54" s="651"/>
      <c r="G54" s="668"/>
    </row>
    <row r="55" spans="1:7" ht="15.75" x14ac:dyDescent="0.2">
      <c r="A55" s="775" t="s">
        <v>21</v>
      </c>
      <c r="B55" s="776"/>
      <c r="C55" s="776"/>
      <c r="D55" s="776"/>
      <c r="E55" s="777"/>
      <c r="F55" s="651"/>
      <c r="G55" s="668"/>
    </row>
    <row r="56" spans="1:7" ht="15.75" x14ac:dyDescent="0.2">
      <c r="A56" s="666">
        <v>4.0999999999999996</v>
      </c>
      <c r="B56" s="667" t="s">
        <v>748</v>
      </c>
      <c r="C56" s="683">
        <f>C57+C58+C59+C60+C61-0.03</f>
        <v>3009428.5</v>
      </c>
      <c r="D56" s="577">
        <f t="shared" ref="D56:E56" si="13">SUM(D57:D61)</f>
        <v>571791.41999999993</v>
      </c>
      <c r="E56" s="577">
        <f t="shared" si="13"/>
        <v>3581219.95</v>
      </c>
      <c r="F56" s="684">
        <v>0</v>
      </c>
      <c r="G56" s="652">
        <f>E56</f>
        <v>3581219.95</v>
      </c>
    </row>
    <row r="57" spans="1:7" x14ac:dyDescent="0.2">
      <c r="A57" s="669"/>
      <c r="B57" s="672" t="s">
        <v>749</v>
      </c>
      <c r="C57" s="587">
        <v>1749576.74</v>
      </c>
      <c r="D57" s="579">
        <f>ROUND(C57*0.19,2)</f>
        <v>332419.58</v>
      </c>
      <c r="E57" s="579">
        <f>C57+D57</f>
        <v>2081996.32</v>
      </c>
      <c r="F57" s="684">
        <v>0</v>
      </c>
      <c r="G57" s="652">
        <f t="shared" ref="G57:G67" si="14">E57</f>
        <v>2081996.32</v>
      </c>
    </row>
    <row r="58" spans="1:7" x14ac:dyDescent="0.2">
      <c r="A58" s="669"/>
      <c r="B58" s="672" t="s">
        <v>750</v>
      </c>
      <c r="C58" s="587">
        <v>1190397.52</v>
      </c>
      <c r="D58" s="579">
        <f>ROUND(C58*0.19,2)</f>
        <v>226175.53</v>
      </c>
      <c r="E58" s="579">
        <f>C58+D58</f>
        <v>1416573.05</v>
      </c>
      <c r="F58" s="684">
        <v>0</v>
      </c>
      <c r="G58" s="652">
        <f t="shared" si="14"/>
        <v>1416573.05</v>
      </c>
    </row>
    <row r="59" spans="1:7" x14ac:dyDescent="0.2">
      <c r="A59" s="669"/>
      <c r="B59" s="672" t="s">
        <v>751</v>
      </c>
      <c r="C59" s="587">
        <v>31051.68</v>
      </c>
      <c r="D59" s="579">
        <f t="shared" ref="D59:D65" si="15">ROUND(C59*0.19,2)</f>
        <v>5899.82</v>
      </c>
      <c r="E59" s="579">
        <f t="shared" ref="E59:E65" si="16">C59+D59</f>
        <v>36951.5</v>
      </c>
      <c r="F59" s="684">
        <v>0</v>
      </c>
      <c r="G59" s="652">
        <f t="shared" si="14"/>
        <v>36951.5</v>
      </c>
    </row>
    <row r="60" spans="1:7" x14ac:dyDescent="0.2">
      <c r="A60" s="669"/>
      <c r="B60" s="672" t="s">
        <v>752</v>
      </c>
      <c r="C60" s="587">
        <v>19472.919999999998</v>
      </c>
      <c r="D60" s="579">
        <f t="shared" si="15"/>
        <v>3699.85</v>
      </c>
      <c r="E60" s="579">
        <f t="shared" si="16"/>
        <v>23172.769999999997</v>
      </c>
      <c r="F60" s="684">
        <v>0</v>
      </c>
      <c r="G60" s="652">
        <f t="shared" si="14"/>
        <v>23172.769999999997</v>
      </c>
    </row>
    <row r="61" spans="1:7" x14ac:dyDescent="0.2">
      <c r="A61" s="669"/>
      <c r="B61" s="680" t="s">
        <v>753</v>
      </c>
      <c r="C61" s="587">
        <v>18929.669999999998</v>
      </c>
      <c r="D61" s="579">
        <f t="shared" si="15"/>
        <v>3596.64</v>
      </c>
      <c r="E61" s="579">
        <f t="shared" si="16"/>
        <v>22526.309999999998</v>
      </c>
      <c r="F61" s="684">
        <v>0</v>
      </c>
      <c r="G61" s="652">
        <f t="shared" si="14"/>
        <v>22526.309999999998</v>
      </c>
    </row>
    <row r="62" spans="1:7" ht="15.75" x14ac:dyDescent="0.2">
      <c r="A62" s="669">
        <v>4.2</v>
      </c>
      <c r="B62" s="670" t="s">
        <v>707</v>
      </c>
      <c r="C62" s="685">
        <v>64968.25</v>
      </c>
      <c r="D62" s="579">
        <f t="shared" si="15"/>
        <v>12343.97</v>
      </c>
      <c r="E62" s="579">
        <f t="shared" si="16"/>
        <v>77312.22</v>
      </c>
      <c r="F62" s="684">
        <v>0</v>
      </c>
      <c r="G62" s="652">
        <f t="shared" si="14"/>
        <v>77312.22</v>
      </c>
    </row>
    <row r="63" spans="1:7" ht="30" x14ac:dyDescent="0.2">
      <c r="A63" s="669">
        <v>4.3</v>
      </c>
      <c r="B63" s="686" t="s">
        <v>709</v>
      </c>
      <c r="C63" s="685">
        <v>165080.35999999999</v>
      </c>
      <c r="D63" s="579">
        <f t="shared" si="15"/>
        <v>31365.27</v>
      </c>
      <c r="E63" s="579">
        <f t="shared" si="16"/>
        <v>196445.62999999998</v>
      </c>
      <c r="F63" s="684">
        <v>0</v>
      </c>
      <c r="G63" s="652">
        <f t="shared" si="14"/>
        <v>196445.62999999998</v>
      </c>
    </row>
    <row r="64" spans="1:7" ht="30" x14ac:dyDescent="0.2">
      <c r="A64" s="669">
        <v>4.4000000000000004</v>
      </c>
      <c r="B64" s="676" t="s">
        <v>754</v>
      </c>
      <c r="C64" s="579"/>
      <c r="D64" s="579"/>
      <c r="E64" s="579"/>
      <c r="F64" s="684">
        <v>0</v>
      </c>
      <c r="G64" s="652">
        <f t="shared" si="14"/>
        <v>0</v>
      </c>
    </row>
    <row r="65" spans="1:7" ht="15.75" x14ac:dyDescent="0.2">
      <c r="A65" s="669">
        <v>4.5</v>
      </c>
      <c r="B65" s="670" t="s">
        <v>22</v>
      </c>
      <c r="C65" s="685">
        <f>D01F!C30+D03F!C22+'D06F  '!C22</f>
        <v>393838.58799999999</v>
      </c>
      <c r="D65" s="579">
        <f t="shared" si="15"/>
        <v>74829.33</v>
      </c>
      <c r="E65" s="579">
        <f t="shared" si="16"/>
        <v>468667.91800000001</v>
      </c>
      <c r="F65" s="687">
        <v>0</v>
      </c>
      <c r="G65" s="652">
        <f t="shared" si="14"/>
        <v>468667.91800000001</v>
      </c>
    </row>
    <row r="66" spans="1:7" x14ac:dyDescent="0.2">
      <c r="A66" s="673">
        <v>4.5999999999999996</v>
      </c>
      <c r="B66" s="688" t="s">
        <v>710</v>
      </c>
      <c r="C66" s="588"/>
      <c r="D66" s="579"/>
      <c r="E66" s="588"/>
      <c r="F66" s="684">
        <v>0</v>
      </c>
      <c r="G66" s="652">
        <f t="shared" si="14"/>
        <v>0</v>
      </c>
    </row>
    <row r="67" spans="1:7" ht="15.75" customHeight="1" x14ac:dyDescent="0.2">
      <c r="A67" s="778" t="s">
        <v>6</v>
      </c>
      <c r="B67" s="779"/>
      <c r="C67" s="16">
        <f>C56+C62+C63+C64+C65+C66</f>
        <v>3633315.6979999999</v>
      </c>
      <c r="D67" s="16">
        <f>D56+D62+D63+D64+D65+D66</f>
        <v>690329.98999999987</v>
      </c>
      <c r="E67" s="16">
        <f>E56+E62+E63+E64+E65+E66</f>
        <v>4323645.7180000003</v>
      </c>
      <c r="F67" s="689">
        <v>0</v>
      </c>
      <c r="G67" s="819">
        <f t="shared" si="14"/>
        <v>4323645.7180000003</v>
      </c>
    </row>
    <row r="68" spans="1:7" ht="15.75" x14ac:dyDescent="0.2">
      <c r="A68" s="772" t="s">
        <v>23</v>
      </c>
      <c r="B68" s="773"/>
      <c r="C68" s="773"/>
      <c r="D68" s="773"/>
      <c r="E68" s="774"/>
      <c r="F68" s="690"/>
      <c r="G68" s="691"/>
    </row>
    <row r="69" spans="1:7" ht="15.75" x14ac:dyDescent="0.2">
      <c r="A69" s="775" t="s">
        <v>24</v>
      </c>
      <c r="B69" s="776"/>
      <c r="C69" s="776"/>
      <c r="D69" s="776"/>
      <c r="E69" s="777"/>
      <c r="F69" s="684"/>
      <c r="G69" s="692"/>
    </row>
    <row r="70" spans="1:7" ht="15.75" x14ac:dyDescent="0.2">
      <c r="A70" s="693">
        <v>5.0999999999999996</v>
      </c>
      <c r="B70" s="694" t="s">
        <v>801</v>
      </c>
      <c r="C70" s="695">
        <f>C71+C72</f>
        <v>20474.71</v>
      </c>
      <c r="D70" s="601">
        <f>ROUND(C70*0.19,2)</f>
        <v>3890.19</v>
      </c>
      <c r="E70" s="601">
        <f>C70+D70</f>
        <v>24364.899999999998</v>
      </c>
      <c r="F70" s="690"/>
      <c r="G70" s="653"/>
    </row>
    <row r="71" spans="1:7" ht="30" x14ac:dyDescent="0.2">
      <c r="A71" s="696"/>
      <c r="B71" s="697" t="s">
        <v>755</v>
      </c>
      <c r="C71" s="601">
        <v>9640.15</v>
      </c>
      <c r="D71" s="601">
        <f>ROUND(C71*0.19,2)</f>
        <v>1831.63</v>
      </c>
      <c r="E71" s="601">
        <f>C71+D71</f>
        <v>11471.779999999999</v>
      </c>
      <c r="F71" s="684">
        <v>0</v>
      </c>
      <c r="G71" s="653">
        <f>E71</f>
        <v>11471.779999999999</v>
      </c>
    </row>
    <row r="72" spans="1:7" x14ac:dyDescent="0.2">
      <c r="A72" s="696"/>
      <c r="B72" s="698" t="s">
        <v>756</v>
      </c>
      <c r="C72" s="601">
        <v>10834.56</v>
      </c>
      <c r="D72" s="601">
        <f>ROUND(C72*0.19,2)</f>
        <v>2058.5700000000002</v>
      </c>
      <c r="E72" s="601">
        <f>C72+D72</f>
        <v>12893.13</v>
      </c>
      <c r="F72" s="684">
        <f>E72</f>
        <v>12893.13</v>
      </c>
      <c r="G72" s="653">
        <v>0</v>
      </c>
    </row>
    <row r="73" spans="1:7" ht="15.75" x14ac:dyDescent="0.2">
      <c r="A73" s="696">
        <v>5.2</v>
      </c>
      <c r="B73" s="698" t="s">
        <v>757</v>
      </c>
      <c r="C73" s="699">
        <f>SUM(C74:C78)</f>
        <v>32312.68</v>
      </c>
      <c r="D73" s="601">
        <f t="shared" ref="D73:E73" si="17">SUM(D74:D78)</f>
        <v>6139.4</v>
      </c>
      <c r="E73" s="601">
        <f t="shared" si="17"/>
        <v>38452.080000000002</v>
      </c>
      <c r="F73" s="684">
        <f>E73</f>
        <v>38452.080000000002</v>
      </c>
      <c r="G73" s="653">
        <v>0</v>
      </c>
    </row>
    <row r="74" spans="1:7" ht="30" x14ac:dyDescent="0.2">
      <c r="A74" s="696"/>
      <c r="B74" s="700" t="s">
        <v>758</v>
      </c>
      <c r="C74" s="601"/>
      <c r="D74" s="601"/>
      <c r="E74" s="601"/>
      <c r="F74" s="684"/>
      <c r="G74" s="653"/>
    </row>
    <row r="75" spans="1:7" ht="30" x14ac:dyDescent="0.2">
      <c r="A75" s="696"/>
      <c r="B75" s="700" t="s">
        <v>759</v>
      </c>
      <c r="C75" s="601">
        <f>ROUND((C88-C71)*0.005,2)</f>
        <v>16156.34</v>
      </c>
      <c r="D75" s="601">
        <f t="shared" ref="D75:D80" si="18">ROUND(C75*0.19,2)</f>
        <v>3069.7</v>
      </c>
      <c r="E75" s="601">
        <f t="shared" ref="E75:G80" si="19">C75+D75</f>
        <v>19226.04</v>
      </c>
      <c r="F75" s="684">
        <v>16979.13</v>
      </c>
      <c r="G75" s="653">
        <v>0</v>
      </c>
    </row>
    <row r="76" spans="1:7" ht="45" x14ac:dyDescent="0.2">
      <c r="A76" s="696"/>
      <c r="B76" s="700" t="s">
        <v>760</v>
      </c>
      <c r="C76" s="601"/>
      <c r="D76" s="601"/>
      <c r="E76" s="601"/>
      <c r="F76" s="684"/>
      <c r="G76" s="653"/>
    </row>
    <row r="77" spans="1:7" ht="30" x14ac:dyDescent="0.2">
      <c r="A77" s="696"/>
      <c r="B77" s="700" t="s">
        <v>761</v>
      </c>
      <c r="C77" s="601">
        <f>ROUND((C88-C71)*0.005,2)</f>
        <v>16156.34</v>
      </c>
      <c r="D77" s="601">
        <f t="shared" si="18"/>
        <v>3069.7</v>
      </c>
      <c r="E77" s="601">
        <f t="shared" si="19"/>
        <v>19226.04</v>
      </c>
      <c r="F77" s="684">
        <f>E77</f>
        <v>19226.04</v>
      </c>
      <c r="G77" s="653">
        <v>0</v>
      </c>
    </row>
    <row r="78" spans="1:7" ht="30" x14ac:dyDescent="0.2">
      <c r="A78" s="696"/>
      <c r="B78" s="700" t="s">
        <v>762</v>
      </c>
      <c r="C78" s="601">
        <v>0</v>
      </c>
      <c r="D78" s="601">
        <f t="shared" si="18"/>
        <v>0</v>
      </c>
      <c r="E78" s="601">
        <f t="shared" si="19"/>
        <v>0</v>
      </c>
      <c r="F78" s="684">
        <v>0</v>
      </c>
      <c r="G78" s="653">
        <v>0</v>
      </c>
    </row>
    <row r="79" spans="1:7" ht="15.75" x14ac:dyDescent="0.2">
      <c r="A79" s="701">
        <v>5.3</v>
      </c>
      <c r="B79" s="702" t="s">
        <v>819</v>
      </c>
      <c r="C79" s="699">
        <v>88872.17</v>
      </c>
      <c r="D79" s="601">
        <f t="shared" si="18"/>
        <v>16885.71</v>
      </c>
      <c r="E79" s="601">
        <f t="shared" si="19"/>
        <v>105757.88</v>
      </c>
      <c r="F79" s="684">
        <v>0</v>
      </c>
      <c r="G79" s="601">
        <f t="shared" si="19"/>
        <v>105757.88</v>
      </c>
    </row>
    <row r="80" spans="1:7" ht="15.75" x14ac:dyDescent="0.2">
      <c r="A80" s="703">
        <v>5.4</v>
      </c>
      <c r="B80" s="704" t="s">
        <v>764</v>
      </c>
      <c r="C80" s="705">
        <v>1500</v>
      </c>
      <c r="D80" s="601">
        <f t="shared" si="18"/>
        <v>285</v>
      </c>
      <c r="E80" s="601">
        <f t="shared" si="19"/>
        <v>1785</v>
      </c>
      <c r="F80" s="684">
        <v>1785</v>
      </c>
      <c r="G80" s="691">
        <v>0</v>
      </c>
    </row>
    <row r="81" spans="1:7" ht="15.75" customHeight="1" x14ac:dyDescent="0.2">
      <c r="A81" s="783" t="s">
        <v>7</v>
      </c>
      <c r="B81" s="784"/>
      <c r="C81" s="706">
        <f>C70+C73+C79+C80</f>
        <v>143159.56</v>
      </c>
      <c r="D81" s="706">
        <f t="shared" ref="D81:E81" si="20">D70+D73+D79+D80</f>
        <v>27200.3</v>
      </c>
      <c r="E81" s="706">
        <f t="shared" si="20"/>
        <v>170359.86</v>
      </c>
      <c r="F81" s="707">
        <f>F72+F73+F80</f>
        <v>53130.21</v>
      </c>
      <c r="G81" s="708">
        <f>G71+G79</f>
        <v>117229.66</v>
      </c>
    </row>
    <row r="82" spans="1:7" ht="15.75" x14ac:dyDescent="0.2">
      <c r="A82" s="772" t="s">
        <v>765</v>
      </c>
      <c r="B82" s="773"/>
      <c r="C82" s="773"/>
      <c r="D82" s="773"/>
      <c r="E82" s="774"/>
      <c r="F82" s="684"/>
      <c r="G82" s="691"/>
    </row>
    <row r="83" spans="1:7" ht="15.75" x14ac:dyDescent="0.2">
      <c r="A83" s="775" t="s">
        <v>766</v>
      </c>
      <c r="B83" s="776"/>
      <c r="C83" s="776"/>
      <c r="D83" s="776"/>
      <c r="E83" s="777"/>
      <c r="F83" s="684"/>
      <c r="G83" s="691"/>
    </row>
    <row r="84" spans="1:7" x14ac:dyDescent="0.2">
      <c r="A84" s="709">
        <v>6.1</v>
      </c>
      <c r="B84" s="710" t="s">
        <v>767</v>
      </c>
      <c r="C84" s="577"/>
      <c r="D84" s="577"/>
      <c r="E84" s="577"/>
      <c r="F84" s="684">
        <v>0</v>
      </c>
      <c r="G84" s="691">
        <v>0</v>
      </c>
    </row>
    <row r="85" spans="1:7" x14ac:dyDescent="0.2">
      <c r="A85" s="711">
        <v>6.2</v>
      </c>
      <c r="B85" s="712" t="s">
        <v>768</v>
      </c>
      <c r="C85" s="588"/>
      <c r="D85" s="588"/>
      <c r="E85" s="588"/>
      <c r="F85" s="684">
        <v>0</v>
      </c>
      <c r="G85" s="653">
        <v>0</v>
      </c>
    </row>
    <row r="86" spans="1:7" ht="15.75" customHeight="1" x14ac:dyDescent="0.2">
      <c r="A86" s="778" t="s">
        <v>769</v>
      </c>
      <c r="B86" s="779"/>
      <c r="C86" s="713">
        <f>SUM(C84:C85)</f>
        <v>0</v>
      </c>
      <c r="D86" s="713">
        <f>SUM(D84:D85)</f>
        <v>0</v>
      </c>
      <c r="E86" s="713">
        <f>SUM(E84:E85)</f>
        <v>0</v>
      </c>
      <c r="F86" s="689">
        <v>0</v>
      </c>
      <c r="G86" s="714">
        <v>0</v>
      </c>
    </row>
    <row r="87" spans="1:7" ht="15.75" x14ac:dyDescent="0.25">
      <c r="A87" s="780" t="s">
        <v>8</v>
      </c>
      <c r="B87" s="780"/>
      <c r="C87" s="715">
        <v>4098736.58</v>
      </c>
      <c r="D87" s="715">
        <v>778759.96</v>
      </c>
      <c r="E87" s="716">
        <v>4877496.54</v>
      </c>
      <c r="F87" s="717">
        <v>309652.77</v>
      </c>
      <c r="G87" s="717">
        <f>G22+G27+G53+G67+G81</f>
        <v>4567843.7680000002</v>
      </c>
    </row>
    <row r="88" spans="1:7" ht="15.75" x14ac:dyDescent="0.2">
      <c r="A88" s="781" t="s">
        <v>770</v>
      </c>
      <c r="B88" s="781"/>
      <c r="C88" s="713">
        <f>C16+C20+C21+C27+C56+C62+C71</f>
        <v>3240908.21</v>
      </c>
      <c r="D88" s="713">
        <f>D16+D20+D21+D27+D56+D62+D71</f>
        <v>615772.55999999994</v>
      </c>
      <c r="E88" s="713">
        <f>E16+E20+E21+E27+E56+E62+E71</f>
        <v>3856680.8000000003</v>
      </c>
      <c r="F88" s="718"/>
      <c r="G88" s="661"/>
    </row>
    <row r="89" spans="1:7" ht="15.75" x14ac:dyDescent="0.2">
      <c r="A89" s="8"/>
      <c r="B89" s="611" t="s">
        <v>771</v>
      </c>
      <c r="C89" s="612" t="s">
        <v>772</v>
      </c>
      <c r="D89" s="9"/>
      <c r="E89" s="9"/>
    </row>
    <row r="90" spans="1:7" ht="15.75" x14ac:dyDescent="0.2">
      <c r="A90" s="8"/>
      <c r="B90" s="8"/>
      <c r="C90" s="9"/>
      <c r="D90" s="9"/>
      <c r="E90" s="9"/>
    </row>
    <row r="91" spans="1:7" x14ac:dyDescent="0.2">
      <c r="E91" s="555" t="s">
        <v>820</v>
      </c>
    </row>
    <row r="92" spans="1:7" x14ac:dyDescent="0.2">
      <c r="D92" s="782" t="s">
        <v>821</v>
      </c>
      <c r="E92" s="782"/>
      <c r="F92" s="822"/>
    </row>
    <row r="93" spans="1:7" x14ac:dyDescent="0.2">
      <c r="A93" s="2"/>
      <c r="B93" s="2"/>
      <c r="C93" s="2"/>
      <c r="D93" s="771"/>
      <c r="E93" s="771"/>
    </row>
    <row r="94" spans="1:7" x14ac:dyDescent="0.2">
      <c r="A94" s="2"/>
      <c r="C94" s="2"/>
      <c r="D94" s="2"/>
      <c r="E94" s="2"/>
    </row>
    <row r="95" spans="1:7" x14ac:dyDescent="0.2">
      <c r="A95" s="2"/>
      <c r="C95" s="2"/>
      <c r="D95" s="2"/>
      <c r="E95" s="2"/>
    </row>
    <row r="96" spans="1:7" x14ac:dyDescent="0.2">
      <c r="A96" s="2"/>
      <c r="B96" s="2"/>
      <c r="C96" s="2"/>
      <c r="D96" s="2"/>
      <c r="E96" s="2"/>
    </row>
    <row r="97" spans="1:5" x14ac:dyDescent="0.2">
      <c r="A97" s="2"/>
      <c r="B97" s="2"/>
      <c r="C97" s="2"/>
      <c r="D97" s="2"/>
      <c r="E97" s="2"/>
    </row>
    <row r="98" spans="1:5" x14ac:dyDescent="0.2">
      <c r="A98" s="2"/>
      <c r="B98" s="2"/>
      <c r="C98" s="2"/>
      <c r="D98" s="2"/>
      <c r="E98" s="2"/>
    </row>
    <row r="99" spans="1:5" x14ac:dyDescent="0.2">
      <c r="A99" s="2"/>
      <c r="B99" s="2"/>
      <c r="C99" s="2"/>
      <c r="D99" s="2"/>
      <c r="E99" s="2"/>
    </row>
    <row r="100" spans="1:5" x14ac:dyDescent="0.2">
      <c r="A100" s="2"/>
      <c r="B100" s="2"/>
      <c r="C100" s="2"/>
      <c r="D100" s="2"/>
      <c r="E100" s="2"/>
    </row>
    <row r="101" spans="1:5" x14ac:dyDescent="0.2">
      <c r="A101" s="2"/>
      <c r="B101" s="2"/>
      <c r="C101" s="2"/>
      <c r="D101" s="2"/>
      <c r="E101" s="2"/>
    </row>
    <row r="102" spans="1:5" x14ac:dyDescent="0.2">
      <c r="A102" s="2"/>
      <c r="B102" s="2"/>
      <c r="C102" s="2"/>
      <c r="D102" s="2"/>
      <c r="E102" s="2"/>
    </row>
    <row r="103" spans="1:5" x14ac:dyDescent="0.2">
      <c r="A103" s="2"/>
      <c r="B103" s="2"/>
      <c r="C103" s="2"/>
      <c r="D103" s="2"/>
      <c r="E103" s="2"/>
    </row>
    <row r="104" spans="1:5" x14ac:dyDescent="0.2">
      <c r="A104" s="2"/>
      <c r="B104" s="2"/>
      <c r="C104" s="2"/>
      <c r="D104" s="2"/>
      <c r="E104" s="2"/>
    </row>
    <row r="105" spans="1:5" x14ac:dyDescent="0.2">
      <c r="A105" s="2"/>
      <c r="B105" s="2"/>
      <c r="C105" s="2"/>
      <c r="D105" s="2"/>
      <c r="E105" s="2"/>
    </row>
    <row r="106" spans="1:5" x14ac:dyDescent="0.2">
      <c r="A106" s="2"/>
      <c r="B106" s="2"/>
      <c r="C106" s="2"/>
      <c r="D106" s="2"/>
      <c r="E106" s="2"/>
    </row>
    <row r="107" spans="1:5" x14ac:dyDescent="0.2">
      <c r="A107" s="2"/>
      <c r="B107" s="2"/>
      <c r="C107" s="2"/>
      <c r="D107" s="2"/>
      <c r="E107" s="2"/>
    </row>
    <row r="108" spans="1:5" x14ac:dyDescent="0.2">
      <c r="A108" s="2"/>
      <c r="B108" s="2"/>
      <c r="C108" s="2"/>
      <c r="D108" s="2"/>
      <c r="E108" s="2"/>
    </row>
    <row r="109" spans="1:5" x14ac:dyDescent="0.2">
      <c r="A109" s="2"/>
      <c r="B109" s="2"/>
      <c r="C109" s="2"/>
      <c r="D109" s="2"/>
      <c r="E109" s="2"/>
    </row>
    <row r="110" spans="1:5" x14ac:dyDescent="0.2">
      <c r="A110" s="2"/>
      <c r="B110" s="2"/>
      <c r="C110" s="2"/>
      <c r="D110" s="2"/>
      <c r="E110" s="2"/>
    </row>
    <row r="111" spans="1:5" x14ac:dyDescent="0.2">
      <c r="A111" s="2"/>
      <c r="B111" s="2"/>
      <c r="C111" s="2"/>
      <c r="D111" s="2"/>
      <c r="E111" s="2"/>
    </row>
  </sheetData>
  <mergeCells count="31">
    <mergeCell ref="A22:B22"/>
    <mergeCell ref="A1:B1"/>
    <mergeCell ref="A2:B2"/>
    <mergeCell ref="A3:B3"/>
    <mergeCell ref="A5:E5"/>
    <mergeCell ref="A6:E6"/>
    <mergeCell ref="A7:E7"/>
    <mergeCell ref="A8:E8"/>
    <mergeCell ref="A10:A11"/>
    <mergeCell ref="B10:B11"/>
    <mergeCell ref="A13:E13"/>
    <mergeCell ref="A14:E14"/>
    <mergeCell ref="A81:B81"/>
    <mergeCell ref="A23:E23"/>
    <mergeCell ref="A24:E24"/>
    <mergeCell ref="A27:B27"/>
    <mergeCell ref="A28:E28"/>
    <mergeCell ref="A29:E29"/>
    <mergeCell ref="A53:B53"/>
    <mergeCell ref="A54:E54"/>
    <mergeCell ref="A55:E55"/>
    <mergeCell ref="A67:B67"/>
    <mergeCell ref="A68:E68"/>
    <mergeCell ref="A69:E69"/>
    <mergeCell ref="D93:E93"/>
    <mergeCell ref="A82:E82"/>
    <mergeCell ref="A83:E83"/>
    <mergeCell ref="A86:B86"/>
    <mergeCell ref="A87:B87"/>
    <mergeCell ref="A88:B88"/>
    <mergeCell ref="D92:E92"/>
  </mergeCells>
  <pageMargins left="0.7" right="0.7" top="0.75" bottom="0.75" header="0.3" footer="0.3"/>
  <pageSetup paperSize="9" scale="57" fitToHeight="0"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Normal="100" workbookViewId="0">
      <selection sqref="A1:XFD1048576"/>
    </sheetView>
  </sheetViews>
  <sheetFormatPr defaultRowHeight="15" x14ac:dyDescent="0.2"/>
  <cols>
    <col min="1" max="1" width="5" style="26" customWidth="1"/>
    <col min="2" max="2" width="53.42578125" style="26" customWidth="1"/>
    <col min="3" max="5" width="15.7109375" style="26" customWidth="1"/>
    <col min="6" max="7" width="9.140625" style="26"/>
    <col min="8" max="8" width="13.85546875" style="26" customWidth="1"/>
    <col min="9" max="9" width="16.5703125" style="26" bestFit="1" customWidth="1"/>
    <col min="10" max="10" width="11.42578125" style="26" bestFit="1" customWidth="1"/>
    <col min="11" max="16384" width="9.140625" style="26"/>
  </cols>
  <sheetData>
    <row r="1" spans="1:10" ht="15.75" x14ac:dyDescent="0.2">
      <c r="A1" s="788" t="s">
        <v>9</v>
      </c>
      <c r="B1" s="788"/>
      <c r="E1" s="548" t="s">
        <v>716</v>
      </c>
    </row>
    <row r="2" spans="1:10" x14ac:dyDescent="0.2">
      <c r="A2" s="788" t="s">
        <v>689</v>
      </c>
      <c r="B2" s="788"/>
      <c r="E2" s="555" t="s">
        <v>690</v>
      </c>
    </row>
    <row r="3" spans="1:10" x14ac:dyDescent="0.2">
      <c r="A3" s="789"/>
      <c r="B3" s="789"/>
      <c r="E3" s="555"/>
    </row>
    <row r="4" spans="1:10" x14ac:dyDescent="0.2">
      <c r="A4" s="549"/>
      <c r="B4" s="549"/>
    </row>
    <row r="5" spans="1:10" ht="18" x14ac:dyDescent="0.2">
      <c r="A5" s="790" t="s">
        <v>717</v>
      </c>
      <c r="B5" s="790"/>
      <c r="C5" s="790"/>
      <c r="D5" s="790"/>
      <c r="E5" s="790"/>
    </row>
    <row r="6" spans="1:10" x14ac:dyDescent="0.2">
      <c r="A6" s="791" t="s">
        <v>718</v>
      </c>
      <c r="B6" s="791"/>
      <c r="C6" s="791"/>
      <c r="D6" s="791"/>
      <c r="E6" s="791"/>
      <c r="H6" s="26" t="s">
        <v>25</v>
      </c>
    </row>
    <row r="7" spans="1:10" x14ac:dyDescent="0.2">
      <c r="A7" s="792" t="s">
        <v>802</v>
      </c>
      <c r="B7" s="792"/>
      <c r="C7" s="792"/>
      <c r="D7" s="792"/>
      <c r="E7" s="792"/>
    </row>
    <row r="8" spans="1:10" x14ac:dyDescent="0.2">
      <c r="A8" s="792" t="s">
        <v>803</v>
      </c>
      <c r="B8" s="792"/>
      <c r="C8" s="792"/>
      <c r="D8" s="792"/>
      <c r="E8" s="792"/>
    </row>
    <row r="9" spans="1:10" x14ac:dyDescent="0.2">
      <c r="A9" s="4"/>
      <c r="B9" s="4"/>
      <c r="C9" s="4"/>
      <c r="D9" s="4"/>
      <c r="E9" s="4"/>
    </row>
    <row r="10" spans="1:10" ht="30" x14ac:dyDescent="0.2">
      <c r="A10" s="811" t="s">
        <v>0</v>
      </c>
      <c r="B10" s="813" t="s">
        <v>12</v>
      </c>
      <c r="C10" s="551" t="s">
        <v>719</v>
      </c>
      <c r="D10" s="17" t="s">
        <v>1</v>
      </c>
      <c r="E10" s="550" t="s">
        <v>692</v>
      </c>
      <c r="F10" s="3"/>
    </row>
    <row r="11" spans="1:10" x14ac:dyDescent="0.2">
      <c r="A11" s="812"/>
      <c r="B11" s="813"/>
      <c r="C11" s="17" t="s">
        <v>693</v>
      </c>
      <c r="D11" s="17" t="s">
        <v>693</v>
      </c>
      <c r="E11" s="17" t="s">
        <v>693</v>
      </c>
      <c r="F11" s="2"/>
    </row>
    <row r="12" spans="1:10" x14ac:dyDescent="0.2">
      <c r="A12" s="18">
        <v>1</v>
      </c>
      <c r="B12" s="18">
        <v>2</v>
      </c>
      <c r="C12" s="18">
        <v>3</v>
      </c>
      <c r="D12" s="18">
        <v>4</v>
      </c>
      <c r="E12" s="18">
        <v>5</v>
      </c>
    </row>
    <row r="13" spans="1:10" ht="15.75" x14ac:dyDescent="0.2">
      <c r="A13" s="798" t="s">
        <v>13</v>
      </c>
      <c r="B13" s="799"/>
      <c r="C13" s="799"/>
      <c r="D13" s="799"/>
      <c r="E13" s="800"/>
    </row>
    <row r="14" spans="1:10" ht="15.75" x14ac:dyDescent="0.2">
      <c r="A14" s="801" t="s">
        <v>14</v>
      </c>
      <c r="B14" s="802"/>
      <c r="C14" s="802"/>
      <c r="D14" s="802"/>
      <c r="E14" s="803"/>
    </row>
    <row r="15" spans="1:10" x14ac:dyDescent="0.2">
      <c r="A15" s="576">
        <v>1.1000000000000001</v>
      </c>
      <c r="B15" s="19" t="s">
        <v>15</v>
      </c>
      <c r="C15" s="577"/>
      <c r="D15" s="559"/>
      <c r="E15" s="559"/>
      <c r="H15" s="5"/>
    </row>
    <row r="16" spans="1:10" x14ac:dyDescent="0.2">
      <c r="A16" s="578">
        <v>1.2</v>
      </c>
      <c r="B16" s="20" t="s">
        <v>2</v>
      </c>
      <c r="C16" s="579">
        <f>SUM(C17:C19)</f>
        <v>63434.083050000001</v>
      </c>
      <c r="D16" s="563">
        <f>SUM(D17:D19)</f>
        <v>12052.47</v>
      </c>
      <c r="E16" s="563">
        <f>SUM(E17:E19)</f>
        <v>75486.553050000002</v>
      </c>
      <c r="H16" s="580">
        <f>C16*0.19</f>
        <v>12052.4757795</v>
      </c>
      <c r="I16" s="581">
        <f>C16*1.19</f>
        <v>75486.558829499991</v>
      </c>
      <c r="J16" s="581"/>
    </row>
    <row r="17" spans="1:10" hidden="1" x14ac:dyDescent="0.2">
      <c r="A17" s="582"/>
      <c r="B17" s="564" t="s">
        <v>720</v>
      </c>
      <c r="C17" s="14">
        <v>0</v>
      </c>
      <c r="D17" s="561">
        <f>ROUND(0.19*C17,2)</f>
        <v>0</v>
      </c>
      <c r="E17" s="561">
        <f>C17+D17</f>
        <v>0</v>
      </c>
      <c r="H17" s="581"/>
      <c r="I17" s="581">
        <f>C17*1.19</f>
        <v>0</v>
      </c>
      <c r="J17" s="581"/>
    </row>
    <row r="18" spans="1:10" x14ac:dyDescent="0.2">
      <c r="A18" s="582"/>
      <c r="B18" s="564" t="s">
        <v>721</v>
      </c>
      <c r="C18" s="14">
        <f>'D05F '!C25</f>
        <v>14000.909000000001</v>
      </c>
      <c r="D18" s="561">
        <f t="shared" ref="D18:D19" si="0">ROUND(0.19*C18,2)</f>
        <v>2660.17</v>
      </c>
      <c r="E18" s="561">
        <f t="shared" ref="E18:E19" si="1">C18+D18</f>
        <v>16661.079000000002</v>
      </c>
      <c r="H18" s="581"/>
      <c r="I18" s="581">
        <f t="shared" ref="I18:I19" si="2">C18*1.19</f>
        <v>16661.081710000002</v>
      </c>
      <c r="J18" s="581"/>
    </row>
    <row r="19" spans="1:10" x14ac:dyDescent="0.2">
      <c r="A19" s="582"/>
      <c r="B19" s="564" t="s">
        <v>722</v>
      </c>
      <c r="C19" s="14">
        <f>'D06F  '!C25-'D06F  '!C24</f>
        <v>49433.174050000001</v>
      </c>
      <c r="D19" s="561">
        <f t="shared" si="0"/>
        <v>9392.2999999999993</v>
      </c>
      <c r="E19" s="561">
        <f t="shared" si="1"/>
        <v>58825.474050000004</v>
      </c>
      <c r="H19" s="581"/>
      <c r="I19" s="581">
        <f t="shared" si="2"/>
        <v>58825.477119499999</v>
      </c>
      <c r="J19" s="581"/>
    </row>
    <row r="20" spans="1:10" ht="30" x14ac:dyDescent="0.2">
      <c r="A20" s="583">
        <v>1.3</v>
      </c>
      <c r="B20" s="584" t="s">
        <v>723</v>
      </c>
      <c r="C20" s="11">
        <f>'D07F  '!C24</f>
        <v>1890.7979999999998</v>
      </c>
      <c r="D20" s="25">
        <f>ROUND(C20*0.19,2)</f>
        <v>359.25</v>
      </c>
      <c r="E20" s="25">
        <f>C20+D20</f>
        <v>2250.0479999999998</v>
      </c>
      <c r="H20" s="580"/>
      <c r="I20" s="581">
        <f>C20*1.19</f>
        <v>2250.0496199999998</v>
      </c>
      <c r="J20" s="581"/>
    </row>
    <row r="21" spans="1:10" x14ac:dyDescent="0.2">
      <c r="A21" s="583">
        <v>1.4</v>
      </c>
      <c r="B21" s="584" t="s">
        <v>724</v>
      </c>
      <c r="C21" s="11"/>
      <c r="D21" s="25"/>
      <c r="E21" s="25"/>
      <c r="H21" s="580"/>
      <c r="I21" s="581"/>
      <c r="J21" s="581"/>
    </row>
    <row r="22" spans="1:10" ht="15.75" x14ac:dyDescent="0.2">
      <c r="A22" s="808" t="s">
        <v>3</v>
      </c>
      <c r="B22" s="808"/>
      <c r="C22" s="7">
        <f>C15+C16+C20+C21</f>
        <v>65324.881050000004</v>
      </c>
      <c r="D22" s="7">
        <f t="shared" ref="D22:E22" si="3">D15+D16+D20+D21</f>
        <v>12411.72</v>
      </c>
      <c r="E22" s="7">
        <f t="shared" si="3"/>
        <v>77736.601049999997</v>
      </c>
      <c r="H22" s="581">
        <f>C22*0.19</f>
        <v>12411.727399500001</v>
      </c>
      <c r="I22" s="580">
        <f>C22*1.19</f>
        <v>77736.608449499996</v>
      </c>
      <c r="J22" s="581"/>
    </row>
    <row r="23" spans="1:10" ht="15.75" x14ac:dyDescent="0.2">
      <c r="A23" s="798" t="s">
        <v>16</v>
      </c>
      <c r="B23" s="799"/>
      <c r="C23" s="799"/>
      <c r="D23" s="799"/>
      <c r="E23" s="800"/>
      <c r="H23" s="581"/>
      <c r="I23" s="581"/>
      <c r="J23" s="581"/>
    </row>
    <row r="24" spans="1:10" ht="15.75" x14ac:dyDescent="0.2">
      <c r="A24" s="801" t="s">
        <v>17</v>
      </c>
      <c r="B24" s="802"/>
      <c r="C24" s="802"/>
      <c r="D24" s="802"/>
      <c r="E24" s="803"/>
      <c r="H24" s="581"/>
      <c r="I24" s="581"/>
      <c r="J24" s="581"/>
    </row>
    <row r="25" spans="1:10" x14ac:dyDescent="0.2">
      <c r="A25" s="576">
        <v>2.1</v>
      </c>
      <c r="B25" s="19" t="s">
        <v>26</v>
      </c>
      <c r="C25" s="12">
        <f>'D08F '!C28</f>
        <v>37495.777019000001</v>
      </c>
      <c r="D25" s="559">
        <f>ROUND(C25*0.19,2)</f>
        <v>7124.2</v>
      </c>
      <c r="E25" s="559">
        <f>C25+D25</f>
        <v>44619.977018999998</v>
      </c>
      <c r="H25" s="581"/>
      <c r="I25" s="581">
        <f>C25*1.19</f>
        <v>44619.974652609999</v>
      </c>
      <c r="J25" s="581"/>
    </row>
    <row r="26" spans="1:10" x14ac:dyDescent="0.2">
      <c r="A26" s="578">
        <v>2.2000000000000002</v>
      </c>
      <c r="B26" s="565" t="s">
        <v>27</v>
      </c>
      <c r="C26" s="13">
        <f>'D09F '!C28</f>
        <v>39864.324499999995</v>
      </c>
      <c r="D26" s="563">
        <f>ROUND(C26*0.19,2)</f>
        <v>7574.22</v>
      </c>
      <c r="E26" s="563">
        <f>C26+D26</f>
        <v>47438.544499999996</v>
      </c>
      <c r="H26" s="581"/>
      <c r="I26" s="581">
        <f>C26*1.19</f>
        <v>47438.546154999989</v>
      </c>
      <c r="J26" s="581"/>
    </row>
    <row r="27" spans="1:10" ht="15.75" x14ac:dyDescent="0.2">
      <c r="A27" s="808" t="s">
        <v>4</v>
      </c>
      <c r="B27" s="808"/>
      <c r="C27" s="16">
        <f>SUM(C25:C26)</f>
        <v>77360.101518999989</v>
      </c>
      <c r="D27" s="16">
        <f t="shared" ref="D27:E27" si="4">SUM(D25:D26)</f>
        <v>14698.42</v>
      </c>
      <c r="E27" s="16">
        <f t="shared" si="4"/>
        <v>92058.521519000002</v>
      </c>
      <c r="H27" s="581"/>
      <c r="I27" s="581">
        <f>C27*1.19</f>
        <v>92058.520807609981</v>
      </c>
      <c r="J27" s="581"/>
    </row>
    <row r="28" spans="1:10" ht="15.75" x14ac:dyDescent="0.2">
      <c r="A28" s="798" t="s">
        <v>18</v>
      </c>
      <c r="B28" s="799"/>
      <c r="C28" s="799"/>
      <c r="D28" s="799"/>
      <c r="E28" s="800"/>
      <c r="H28" s="581"/>
      <c r="I28" s="581"/>
      <c r="J28" s="581"/>
    </row>
    <row r="29" spans="1:10" ht="15.75" x14ac:dyDescent="0.2">
      <c r="A29" s="801" t="s">
        <v>19</v>
      </c>
      <c r="B29" s="802"/>
      <c r="C29" s="802"/>
      <c r="D29" s="802"/>
      <c r="E29" s="803"/>
      <c r="H29" s="581"/>
      <c r="I29" s="581"/>
      <c r="J29" s="581"/>
    </row>
    <row r="30" spans="1:10" x14ac:dyDescent="0.2">
      <c r="A30" s="576">
        <v>3.1</v>
      </c>
      <c r="B30" s="19" t="s">
        <v>725</v>
      </c>
      <c r="C30" s="577">
        <f>SUM(C31:C33)</f>
        <v>9000</v>
      </c>
      <c r="D30" s="577">
        <f t="shared" ref="D30:E30" si="5">SUM(D31:D33)</f>
        <v>1710</v>
      </c>
      <c r="E30" s="577">
        <f t="shared" si="5"/>
        <v>10710</v>
      </c>
      <c r="H30" s="581"/>
      <c r="I30" s="581">
        <f>C30*1.19</f>
        <v>10710</v>
      </c>
      <c r="J30" s="581"/>
    </row>
    <row r="31" spans="1:10" x14ac:dyDescent="0.2">
      <c r="A31" s="582"/>
      <c r="B31" s="564" t="s">
        <v>726</v>
      </c>
      <c r="C31" s="14">
        <v>9000</v>
      </c>
      <c r="D31" s="561">
        <f>ROUND(C31*0.19,2)</f>
        <v>1710</v>
      </c>
      <c r="E31" s="561">
        <f>C31+D31</f>
        <v>10710</v>
      </c>
      <c r="H31" s="581"/>
      <c r="I31" s="581"/>
      <c r="J31" s="581"/>
    </row>
    <row r="32" spans="1:10" x14ac:dyDescent="0.2">
      <c r="A32" s="582"/>
      <c r="B32" s="564" t="s">
        <v>727</v>
      </c>
      <c r="C32" s="14"/>
      <c r="D32" s="561"/>
      <c r="E32" s="561"/>
      <c r="H32" s="581"/>
      <c r="I32" s="585"/>
      <c r="J32" s="581"/>
    </row>
    <row r="33" spans="1:10" x14ac:dyDescent="0.2">
      <c r="A33" s="582"/>
      <c r="B33" s="564" t="s">
        <v>728</v>
      </c>
      <c r="C33" s="14"/>
      <c r="D33" s="561"/>
      <c r="E33" s="561"/>
      <c r="H33" s="581"/>
      <c r="I33" s="581"/>
      <c r="J33" s="581"/>
    </row>
    <row r="34" spans="1:10" ht="30" x14ac:dyDescent="0.2">
      <c r="A34" s="578">
        <v>3.2</v>
      </c>
      <c r="B34" s="565" t="s">
        <v>729</v>
      </c>
      <c r="C34" s="13">
        <v>6300</v>
      </c>
      <c r="D34" s="561">
        <f t="shared" ref="D34:D36" si="6">ROUND(C34*0.19,2)</f>
        <v>1197</v>
      </c>
      <c r="E34" s="563">
        <f>C34+D34</f>
        <v>7497</v>
      </c>
      <c r="H34" s="581"/>
      <c r="I34" s="581">
        <f>C34*1.19</f>
        <v>7497</v>
      </c>
      <c r="J34" s="581"/>
    </row>
    <row r="35" spans="1:10" x14ac:dyDescent="0.2">
      <c r="A35" s="578">
        <v>3.3</v>
      </c>
      <c r="B35" s="20" t="s">
        <v>730</v>
      </c>
      <c r="C35" s="13">
        <v>4000</v>
      </c>
      <c r="D35" s="561">
        <f t="shared" si="6"/>
        <v>760</v>
      </c>
      <c r="E35" s="563">
        <f>C35+D35</f>
        <v>4760</v>
      </c>
      <c r="H35" s="581"/>
      <c r="I35" s="581">
        <f>C35*1.19</f>
        <v>4760</v>
      </c>
      <c r="J35" s="581"/>
    </row>
    <row r="36" spans="1:10" ht="30" x14ac:dyDescent="0.2">
      <c r="A36" s="586">
        <v>3.4</v>
      </c>
      <c r="B36" s="565" t="s">
        <v>731</v>
      </c>
      <c r="C36" s="13">
        <v>5000</v>
      </c>
      <c r="D36" s="561">
        <f t="shared" si="6"/>
        <v>950</v>
      </c>
      <c r="E36" s="563">
        <f>C36+D36</f>
        <v>5950</v>
      </c>
      <c r="H36" s="581"/>
      <c r="I36" s="581">
        <f>C36*1.19</f>
        <v>5950</v>
      </c>
      <c r="J36" s="581"/>
    </row>
    <row r="37" spans="1:10" x14ac:dyDescent="0.2">
      <c r="A37" s="578">
        <v>3.5</v>
      </c>
      <c r="B37" s="564" t="s">
        <v>732</v>
      </c>
      <c r="C37" s="587">
        <f>SUM(C38:C43)</f>
        <v>87850</v>
      </c>
      <c r="D37" s="587">
        <f t="shared" ref="D37:E37" si="7">SUM(D38:D43)</f>
        <v>16691.5</v>
      </c>
      <c r="E37" s="587">
        <f t="shared" si="7"/>
        <v>104541.5</v>
      </c>
      <c r="H37" s="581">
        <f>C37*0.19</f>
        <v>16691.5</v>
      </c>
      <c r="I37" s="581">
        <f>C37*1.19</f>
        <v>104541.5</v>
      </c>
      <c r="J37" s="581"/>
    </row>
    <row r="38" spans="1:10" x14ac:dyDescent="0.2">
      <c r="A38" s="578"/>
      <c r="B38" s="564" t="s">
        <v>733</v>
      </c>
      <c r="C38" s="14"/>
      <c r="D38" s="563"/>
      <c r="E38" s="563"/>
      <c r="H38" s="581"/>
      <c r="I38" s="581"/>
      <c r="J38" s="581"/>
    </row>
    <row r="39" spans="1:10" x14ac:dyDescent="0.2">
      <c r="A39" s="578"/>
      <c r="B39" s="564" t="s">
        <v>734</v>
      </c>
      <c r="C39" s="14">
        <v>38000</v>
      </c>
      <c r="D39" s="563">
        <f>ROUND(C39*0.19,2)</f>
        <v>7220</v>
      </c>
      <c r="E39" s="563">
        <f t="shared" ref="E39:E44" si="8">C39+D39</f>
        <v>45220</v>
      </c>
      <c r="H39" s="581"/>
      <c r="I39" s="581">
        <f>C39*1.19</f>
        <v>45220</v>
      </c>
      <c r="J39" s="581"/>
    </row>
    <row r="40" spans="1:10" ht="30" x14ac:dyDescent="0.2">
      <c r="A40" s="578"/>
      <c r="B40" s="569" t="s">
        <v>735</v>
      </c>
      <c r="C40" s="14"/>
      <c r="D40" s="563"/>
      <c r="E40" s="563"/>
      <c r="H40" s="581"/>
      <c r="I40" s="581"/>
      <c r="J40" s="581"/>
    </row>
    <row r="41" spans="1:10" ht="30" x14ac:dyDescent="0.2">
      <c r="A41" s="578"/>
      <c r="B41" s="569" t="s">
        <v>736</v>
      </c>
      <c r="C41" s="14">
        <v>12000</v>
      </c>
      <c r="D41" s="563">
        <f t="shared" ref="D41:D44" si="9">ROUND(C41*0.19,2)</f>
        <v>2280</v>
      </c>
      <c r="E41" s="563">
        <f t="shared" si="8"/>
        <v>14280</v>
      </c>
      <c r="H41" s="581"/>
      <c r="I41" s="581">
        <f t="shared" ref="I41:I46" si="10">C41*1.19</f>
        <v>14280</v>
      </c>
      <c r="J41" s="581"/>
    </row>
    <row r="42" spans="1:10" ht="30" x14ac:dyDescent="0.2">
      <c r="A42" s="578"/>
      <c r="B42" s="569" t="s">
        <v>737</v>
      </c>
      <c r="C42" s="14">
        <v>7000</v>
      </c>
      <c r="D42" s="563">
        <f t="shared" si="9"/>
        <v>1330</v>
      </c>
      <c r="E42" s="563">
        <f t="shared" si="8"/>
        <v>8330</v>
      </c>
      <c r="H42" s="581"/>
      <c r="I42" s="581">
        <f t="shared" si="10"/>
        <v>8330</v>
      </c>
      <c r="J42" s="581"/>
    </row>
    <row r="43" spans="1:10" x14ac:dyDescent="0.2">
      <c r="A43" s="578"/>
      <c r="B43" s="564" t="s">
        <v>738</v>
      </c>
      <c r="C43" s="14">
        <v>30850</v>
      </c>
      <c r="D43" s="563">
        <f t="shared" si="9"/>
        <v>5861.5</v>
      </c>
      <c r="E43" s="563">
        <f t="shared" si="8"/>
        <v>36711.5</v>
      </c>
      <c r="H43" s="581"/>
      <c r="I43" s="581">
        <f t="shared" si="10"/>
        <v>36711.5</v>
      </c>
      <c r="J43" s="581"/>
    </row>
    <row r="44" spans="1:10" x14ac:dyDescent="0.2">
      <c r="A44" s="578">
        <v>3.6</v>
      </c>
      <c r="B44" s="565" t="s">
        <v>739</v>
      </c>
      <c r="C44" s="13">
        <v>8240</v>
      </c>
      <c r="D44" s="563">
        <f t="shared" si="9"/>
        <v>1565.6</v>
      </c>
      <c r="E44" s="563">
        <f t="shared" si="8"/>
        <v>9805.6</v>
      </c>
      <c r="H44" s="581"/>
      <c r="I44" s="581">
        <f t="shared" si="10"/>
        <v>9805.6</v>
      </c>
      <c r="J44" s="581"/>
    </row>
    <row r="45" spans="1:10" x14ac:dyDescent="0.2">
      <c r="A45" s="578">
        <v>3.7</v>
      </c>
      <c r="B45" s="564" t="s">
        <v>740</v>
      </c>
      <c r="C45" s="587">
        <f>SUM(C46:C47)</f>
        <v>0</v>
      </c>
      <c r="D45" s="587">
        <f t="shared" ref="D45:E45" si="11">SUM(D46:D47)</f>
        <v>0</v>
      </c>
      <c r="E45" s="587">
        <f t="shared" si="11"/>
        <v>0</v>
      </c>
      <c r="H45" s="581">
        <f>C45*0.19</f>
        <v>0</v>
      </c>
      <c r="I45" s="581">
        <f t="shared" si="10"/>
        <v>0</v>
      </c>
      <c r="J45" s="581"/>
    </row>
    <row r="46" spans="1:10" ht="30" x14ac:dyDescent="0.2">
      <c r="A46" s="578"/>
      <c r="B46" s="569" t="s">
        <v>741</v>
      </c>
      <c r="C46" s="14">
        <v>0</v>
      </c>
      <c r="D46" s="563">
        <f>ROUND(C46*0.19,2)</f>
        <v>0</v>
      </c>
      <c r="E46" s="563">
        <f>C46+D46</f>
        <v>0</v>
      </c>
      <c r="H46" s="581"/>
      <c r="I46" s="581">
        <f t="shared" si="10"/>
        <v>0</v>
      </c>
      <c r="J46" s="581"/>
    </row>
    <row r="47" spans="1:10" x14ac:dyDescent="0.2">
      <c r="A47" s="578"/>
      <c r="B47" s="564" t="s">
        <v>742</v>
      </c>
      <c r="C47" s="14"/>
      <c r="D47" s="563"/>
      <c r="E47" s="563"/>
      <c r="H47" s="581"/>
      <c r="I47" s="581"/>
      <c r="J47" s="581"/>
    </row>
    <row r="48" spans="1:10" x14ac:dyDescent="0.2">
      <c r="A48" s="578">
        <v>3.8</v>
      </c>
      <c r="B48" s="564" t="s">
        <v>743</v>
      </c>
      <c r="C48" s="587">
        <f>SUM(C49:C52)</f>
        <v>45000</v>
      </c>
      <c r="D48" s="587">
        <f>SUM(D49:D52)</f>
        <v>8550</v>
      </c>
      <c r="E48" s="587">
        <f>E49+E52</f>
        <v>53550</v>
      </c>
      <c r="H48" s="581">
        <f>C48*0.19</f>
        <v>8550</v>
      </c>
      <c r="I48" s="581">
        <f t="shared" ref="I48:I53" si="12">C48*1.19</f>
        <v>53550</v>
      </c>
      <c r="J48" s="581"/>
    </row>
    <row r="49" spans="1:10" x14ac:dyDescent="0.2">
      <c r="A49" s="578"/>
      <c r="B49" s="564" t="s">
        <v>744</v>
      </c>
      <c r="C49" s="14">
        <v>16000</v>
      </c>
      <c r="D49" s="563">
        <f>ROUND(C49*0.19,)</f>
        <v>3040</v>
      </c>
      <c r="E49" s="563">
        <f>C49+D49</f>
        <v>19040</v>
      </c>
      <c r="H49" s="581"/>
      <c r="I49" s="581">
        <f t="shared" si="12"/>
        <v>19040</v>
      </c>
      <c r="J49" s="581"/>
    </row>
    <row r="50" spans="1:10" x14ac:dyDescent="0.2">
      <c r="A50" s="578"/>
      <c r="B50" s="564" t="s">
        <v>745</v>
      </c>
      <c r="C50" s="14"/>
      <c r="D50" s="563"/>
      <c r="E50" s="563"/>
      <c r="H50" s="581"/>
      <c r="I50" s="581">
        <f t="shared" si="12"/>
        <v>0</v>
      </c>
      <c r="J50" s="581"/>
    </row>
    <row r="51" spans="1:10" ht="45" x14ac:dyDescent="0.2">
      <c r="A51" s="578"/>
      <c r="B51" s="569" t="s">
        <v>746</v>
      </c>
      <c r="C51" s="14"/>
      <c r="D51" s="563"/>
      <c r="E51" s="563"/>
      <c r="H51" s="581"/>
      <c r="I51" s="581">
        <f t="shared" si="12"/>
        <v>0</v>
      </c>
      <c r="J51" s="581"/>
    </row>
    <row r="52" spans="1:10" x14ac:dyDescent="0.2">
      <c r="A52" s="578"/>
      <c r="B52" s="565" t="s">
        <v>747</v>
      </c>
      <c r="C52" s="13">
        <v>29000</v>
      </c>
      <c r="D52" s="563">
        <f>ROUND(0.19*C52,2)</f>
        <v>5510</v>
      </c>
      <c r="E52" s="563">
        <f>C52+D52</f>
        <v>34510</v>
      </c>
      <c r="H52" s="581"/>
      <c r="I52" s="581">
        <f t="shared" si="12"/>
        <v>34510</v>
      </c>
      <c r="J52" s="581"/>
    </row>
    <row r="53" spans="1:10" ht="15.75" x14ac:dyDescent="0.2">
      <c r="A53" s="809" t="s">
        <v>5</v>
      </c>
      <c r="B53" s="810"/>
      <c r="C53" s="7">
        <f>C30+C34+C35+C36+C37+C44+C45+C48</f>
        <v>165390</v>
      </c>
      <c r="D53" s="7">
        <f t="shared" ref="D53:E53" si="13">D30+D34+D35+D36+D37+D44+D45+D48</f>
        <v>31424.1</v>
      </c>
      <c r="E53" s="7">
        <f t="shared" si="13"/>
        <v>196814.1</v>
      </c>
      <c r="H53" s="581">
        <f>C53*1.19</f>
        <v>196814.09999999998</v>
      </c>
      <c r="I53" s="581">
        <f t="shared" si="12"/>
        <v>196814.09999999998</v>
      </c>
      <c r="J53" s="581"/>
    </row>
    <row r="54" spans="1:10" ht="15.75" x14ac:dyDescent="0.2">
      <c r="A54" s="798" t="s">
        <v>20</v>
      </c>
      <c r="B54" s="799"/>
      <c r="C54" s="799"/>
      <c r="D54" s="799"/>
      <c r="E54" s="800"/>
      <c r="H54" s="581"/>
      <c r="I54" s="581"/>
      <c r="J54" s="581"/>
    </row>
    <row r="55" spans="1:10" ht="15.75" x14ac:dyDescent="0.2">
      <c r="A55" s="801" t="s">
        <v>21</v>
      </c>
      <c r="B55" s="802"/>
      <c r="C55" s="802"/>
      <c r="D55" s="802"/>
      <c r="E55" s="803"/>
      <c r="H55" s="581"/>
      <c r="I55" s="581"/>
      <c r="J55" s="581"/>
    </row>
    <row r="56" spans="1:10" x14ac:dyDescent="0.2">
      <c r="A56" s="576">
        <v>4.0999999999999996</v>
      </c>
      <c r="B56" s="19" t="s">
        <v>748</v>
      </c>
      <c r="C56" s="559">
        <f>SUM(C57:C61)</f>
        <v>2697219.4983282876</v>
      </c>
      <c r="D56" s="559">
        <f t="shared" ref="D56:E56" si="14">SUM(D57:D61)</f>
        <v>512471.70999999996</v>
      </c>
      <c r="E56" s="559">
        <f t="shared" si="14"/>
        <v>3209691.2083282876</v>
      </c>
      <c r="H56" s="581">
        <f>C56*0.19</f>
        <v>512471.70468237466</v>
      </c>
      <c r="I56" s="581">
        <f t="shared" ref="I56:I63" si="15">C56*1.19</f>
        <v>3209691.203010662</v>
      </c>
      <c r="J56" s="581"/>
    </row>
    <row r="57" spans="1:10" x14ac:dyDescent="0.2">
      <c r="A57" s="578"/>
      <c r="B57" s="564" t="s">
        <v>749</v>
      </c>
      <c r="C57" s="14">
        <f>D01F!C20</f>
        <v>1518323.9850198736</v>
      </c>
      <c r="D57" s="563">
        <f>ROUND(C57*0.19,2)</f>
        <v>288481.56</v>
      </c>
      <c r="E57" s="563">
        <f>C57+D57</f>
        <v>1806805.5450198737</v>
      </c>
      <c r="H57" s="581"/>
      <c r="I57" s="581">
        <f t="shared" si="15"/>
        <v>1806805.5421736494</v>
      </c>
      <c r="J57" s="581"/>
    </row>
    <row r="58" spans="1:10" x14ac:dyDescent="0.2">
      <c r="A58" s="578"/>
      <c r="B58" s="564" t="s">
        <v>750</v>
      </c>
      <c r="C58" s="14">
        <f>D01F!C25</f>
        <v>1106413.9553999137</v>
      </c>
      <c r="D58" s="563">
        <f>ROUND(C58*0.19,2)</f>
        <v>210218.65</v>
      </c>
      <c r="E58" s="563">
        <f>C58+D58</f>
        <v>1316632.6053999136</v>
      </c>
      <c r="H58" s="581"/>
      <c r="I58" s="581">
        <f t="shared" si="15"/>
        <v>1316632.6069258973</v>
      </c>
      <c r="J58" s="581"/>
    </row>
    <row r="59" spans="1:10" x14ac:dyDescent="0.2">
      <c r="A59" s="578"/>
      <c r="B59" s="564" t="s">
        <v>751</v>
      </c>
      <c r="C59" s="14">
        <f>'D02F '!C25</f>
        <v>46505.347304000003</v>
      </c>
      <c r="D59" s="563">
        <f t="shared" ref="D59:D65" si="16">ROUND(C59*0.19,2)</f>
        <v>8836.02</v>
      </c>
      <c r="E59" s="563">
        <f t="shared" ref="E59:E65" si="17">C59+D59</f>
        <v>55341.367303999999</v>
      </c>
      <c r="H59" s="581"/>
      <c r="I59" s="581">
        <f t="shared" si="15"/>
        <v>55341.363291759997</v>
      </c>
      <c r="J59" s="581"/>
    </row>
    <row r="60" spans="1:10" x14ac:dyDescent="0.2">
      <c r="A60" s="578"/>
      <c r="B60" s="564" t="s">
        <v>752</v>
      </c>
      <c r="C60" s="14">
        <f>D03F!C25-D03F!C24</f>
        <v>20799.025604499999</v>
      </c>
      <c r="D60" s="563">
        <f t="shared" si="16"/>
        <v>3951.81</v>
      </c>
      <c r="E60" s="563">
        <f t="shared" si="17"/>
        <v>24750.8356045</v>
      </c>
      <c r="H60" s="581"/>
      <c r="I60" s="581">
        <f t="shared" si="15"/>
        <v>24750.840469354996</v>
      </c>
      <c r="J60" s="581"/>
    </row>
    <row r="61" spans="1:10" x14ac:dyDescent="0.2">
      <c r="A61" s="578"/>
      <c r="B61" s="569" t="s">
        <v>753</v>
      </c>
      <c r="C61" s="14">
        <f>D04F!C25</f>
        <v>5177.1849999999995</v>
      </c>
      <c r="D61" s="563">
        <f t="shared" si="16"/>
        <v>983.67</v>
      </c>
      <c r="E61" s="563">
        <f t="shared" si="17"/>
        <v>6160.8549999999996</v>
      </c>
      <c r="H61" s="581"/>
      <c r="I61" s="581">
        <f t="shared" si="15"/>
        <v>6160.8501499999993</v>
      </c>
      <c r="J61" s="581"/>
    </row>
    <row r="62" spans="1:10" x14ac:dyDescent="0.2">
      <c r="A62" s="578">
        <v>4.2</v>
      </c>
      <c r="B62" s="20" t="s">
        <v>707</v>
      </c>
      <c r="C62" s="13">
        <f>D01F!C26</f>
        <v>13730.795</v>
      </c>
      <c r="D62" s="563">
        <f t="shared" si="16"/>
        <v>2608.85</v>
      </c>
      <c r="E62" s="563">
        <f t="shared" si="17"/>
        <v>16339.645</v>
      </c>
      <c r="H62" s="581"/>
      <c r="I62" s="581">
        <f t="shared" si="15"/>
        <v>16339.646049999999</v>
      </c>
      <c r="J62" s="581"/>
    </row>
    <row r="63" spans="1:10" ht="30" x14ac:dyDescent="0.2">
      <c r="A63" s="578">
        <v>4.3</v>
      </c>
      <c r="B63" s="21" t="s">
        <v>709</v>
      </c>
      <c r="C63" s="644">
        <f>D01F!C28</f>
        <v>249999.51080000002</v>
      </c>
      <c r="D63" s="563">
        <f t="shared" si="16"/>
        <v>47499.91</v>
      </c>
      <c r="E63" s="563">
        <f t="shared" si="17"/>
        <v>297499.42080000002</v>
      </c>
      <c r="H63" s="581"/>
      <c r="I63" s="581">
        <f t="shared" si="15"/>
        <v>297499.41785199998</v>
      </c>
      <c r="J63" s="581"/>
    </row>
    <row r="64" spans="1:10" ht="30" x14ac:dyDescent="0.2">
      <c r="A64" s="578">
        <v>4.4000000000000004</v>
      </c>
      <c r="B64" s="565" t="s">
        <v>754</v>
      </c>
      <c r="C64" s="13"/>
      <c r="D64" s="563"/>
      <c r="E64" s="563"/>
      <c r="H64" s="581"/>
      <c r="I64" s="581"/>
      <c r="J64" s="581"/>
    </row>
    <row r="65" spans="1:10" x14ac:dyDescent="0.2">
      <c r="A65" s="578">
        <v>4.5</v>
      </c>
      <c r="B65" s="20" t="s">
        <v>22</v>
      </c>
      <c r="C65" s="13">
        <f>D01F!C30+D03F!C22+'D06F  '!C22</f>
        <v>393838.58799999999</v>
      </c>
      <c r="D65" s="563">
        <f t="shared" si="16"/>
        <v>74829.33</v>
      </c>
      <c r="E65" s="563">
        <f t="shared" si="17"/>
        <v>468667.91800000001</v>
      </c>
      <c r="H65" s="581"/>
      <c r="I65" s="581">
        <f t="shared" ref="I65:I67" si="18">C65*1.19</f>
        <v>468667.91971999995</v>
      </c>
      <c r="J65" s="581"/>
    </row>
    <row r="66" spans="1:10" x14ac:dyDescent="0.2">
      <c r="A66" s="583">
        <v>4.5999999999999996</v>
      </c>
      <c r="B66" s="24" t="s">
        <v>710</v>
      </c>
      <c r="C66" s="588"/>
      <c r="D66" s="563"/>
      <c r="E66" s="25"/>
      <c r="H66" s="581"/>
      <c r="I66" s="581"/>
      <c r="J66" s="581"/>
    </row>
    <row r="67" spans="1:10" ht="15.75" customHeight="1" x14ac:dyDescent="0.2">
      <c r="A67" s="804" t="s">
        <v>6</v>
      </c>
      <c r="B67" s="805"/>
      <c r="C67" s="7">
        <f>C56+C62+C63+C64+C65+C66</f>
        <v>3354788.3921282873</v>
      </c>
      <c r="D67" s="7">
        <f>D56+D62+D63+D64+D65+D66</f>
        <v>637409.79999999993</v>
      </c>
      <c r="E67" s="7">
        <f>E56+E62+E63+E64+E65+E66</f>
        <v>3992198.1921282876</v>
      </c>
      <c r="H67" s="581">
        <f>C67*0.19</f>
        <v>637409.79450437461</v>
      </c>
      <c r="I67" s="581">
        <f t="shared" si="18"/>
        <v>3992198.1866326616</v>
      </c>
      <c r="J67" s="581"/>
    </row>
    <row r="68" spans="1:10" ht="15.75" x14ac:dyDescent="0.2">
      <c r="A68" s="798" t="s">
        <v>23</v>
      </c>
      <c r="B68" s="799"/>
      <c r="C68" s="799"/>
      <c r="D68" s="799"/>
      <c r="E68" s="800"/>
      <c r="H68" s="581"/>
      <c r="I68" s="581"/>
      <c r="J68" s="581"/>
    </row>
    <row r="69" spans="1:10" ht="15.75" x14ac:dyDescent="0.2">
      <c r="A69" s="801" t="s">
        <v>24</v>
      </c>
      <c r="B69" s="802"/>
      <c r="C69" s="802"/>
      <c r="D69" s="802"/>
      <c r="E69" s="803"/>
      <c r="H69" s="581"/>
      <c r="I69" s="581"/>
      <c r="J69" s="581"/>
    </row>
    <row r="70" spans="1:10" x14ac:dyDescent="0.2">
      <c r="A70" s="589">
        <v>5.0999999999999996</v>
      </c>
      <c r="B70" s="590" t="s">
        <v>801</v>
      </c>
      <c r="C70" s="591">
        <f>ROUND((C88-C71)*0.015,2)</f>
        <v>42804.53</v>
      </c>
      <c r="D70" s="595">
        <f>ROUND(C70*0.19,2)</f>
        <v>8132.86</v>
      </c>
      <c r="E70" s="595">
        <f>C70+D70</f>
        <v>50937.39</v>
      </c>
      <c r="H70" s="581">
        <f>C70*0.19</f>
        <v>8132.8607000000002</v>
      </c>
      <c r="I70" s="581">
        <f>C70*1.19</f>
        <v>50937.390699999996</v>
      </c>
      <c r="J70" s="581"/>
    </row>
    <row r="71" spans="1:10" ht="30" x14ac:dyDescent="0.2">
      <c r="A71" s="592"/>
      <c r="B71" s="593" t="s">
        <v>755</v>
      </c>
      <c r="C71" s="594">
        <v>39998.699999999997</v>
      </c>
      <c r="D71" s="595">
        <f>ROUND(C71*0.19,2)</f>
        <v>7599.75</v>
      </c>
      <c r="E71" s="595">
        <f>C71+D71</f>
        <v>47598.45</v>
      </c>
      <c r="H71" s="596">
        <f>C70-C72</f>
        <v>39998.699999999997</v>
      </c>
      <c r="I71" s="581">
        <f>C71*1.19</f>
        <v>47598.452999999994</v>
      </c>
      <c r="J71" s="597">
        <f>C70-C72</f>
        <v>39998.699999999997</v>
      </c>
    </row>
    <row r="72" spans="1:10" x14ac:dyDescent="0.2">
      <c r="A72" s="592"/>
      <c r="B72" s="598" t="s">
        <v>756</v>
      </c>
      <c r="C72" s="595">
        <f>C70-C71</f>
        <v>2805.8300000000017</v>
      </c>
      <c r="D72" s="595">
        <f>ROUND(C72*0.19,2)</f>
        <v>533.11</v>
      </c>
      <c r="E72" s="595">
        <f>C72+D72</f>
        <v>3338.9400000000019</v>
      </c>
      <c r="H72" s="581"/>
      <c r="I72" s="581">
        <f>C72*1.19</f>
        <v>3338.9377000000018</v>
      </c>
      <c r="J72" s="581"/>
    </row>
    <row r="73" spans="1:10" x14ac:dyDescent="0.2">
      <c r="A73" s="592">
        <v>5.2</v>
      </c>
      <c r="B73" s="598" t="s">
        <v>757</v>
      </c>
      <c r="C73" s="595">
        <f>SUM(C74:C78)</f>
        <v>28536.36</v>
      </c>
      <c r="D73" s="595">
        <f t="shared" ref="D73:E73" si="19">SUM(D74:D78)</f>
        <v>5421.9</v>
      </c>
      <c r="E73" s="595">
        <f t="shared" si="19"/>
        <v>33958.26</v>
      </c>
      <c r="H73" s="581">
        <f>C73*0.19</f>
        <v>5421.9084000000003</v>
      </c>
      <c r="I73" s="581">
        <f>C73*1.19</f>
        <v>33958.268400000001</v>
      </c>
      <c r="J73" s="581"/>
    </row>
    <row r="74" spans="1:10" ht="30" x14ac:dyDescent="0.2">
      <c r="A74" s="592"/>
      <c r="B74" s="599" t="s">
        <v>758</v>
      </c>
      <c r="C74" s="600"/>
      <c r="D74" s="595"/>
      <c r="E74" s="595"/>
      <c r="H74" s="581"/>
      <c r="I74" s="581"/>
      <c r="J74" s="581"/>
    </row>
    <row r="75" spans="1:10" ht="30" x14ac:dyDescent="0.2">
      <c r="A75" s="592"/>
      <c r="B75" s="599" t="s">
        <v>759</v>
      </c>
      <c r="C75" s="601">
        <f>ROUND((C88-C71)*0.005,2)</f>
        <v>14268.18</v>
      </c>
      <c r="D75" s="595">
        <f t="shared" ref="D75:D80" si="20">ROUND(C75*0.19,2)</f>
        <v>2710.95</v>
      </c>
      <c r="E75" s="595">
        <f t="shared" ref="E75:E80" si="21">C75+D75</f>
        <v>16979.13</v>
      </c>
      <c r="H75" s="581">
        <f>C75*0.19</f>
        <v>2710.9542000000001</v>
      </c>
      <c r="I75" s="581">
        <f t="shared" ref="I75:I79" si="22">C75*1.19</f>
        <v>16979.1342</v>
      </c>
      <c r="J75" s="581"/>
    </row>
    <row r="76" spans="1:10" ht="45" x14ac:dyDescent="0.2">
      <c r="A76" s="592"/>
      <c r="B76" s="599" t="s">
        <v>760</v>
      </c>
      <c r="C76" s="600"/>
      <c r="D76" s="595"/>
      <c r="E76" s="595"/>
      <c r="H76" s="581"/>
      <c r="I76" s="581"/>
      <c r="J76" s="581"/>
    </row>
    <row r="77" spans="1:10" ht="30" x14ac:dyDescent="0.2">
      <c r="A77" s="592"/>
      <c r="B77" s="599" t="s">
        <v>761</v>
      </c>
      <c r="C77" s="601">
        <f>ROUND((C88-C71)*0.005,2)</f>
        <v>14268.18</v>
      </c>
      <c r="D77" s="595">
        <f t="shared" si="20"/>
        <v>2710.95</v>
      </c>
      <c r="E77" s="595">
        <f t="shared" si="21"/>
        <v>16979.13</v>
      </c>
      <c r="H77" s="581">
        <f>C77*0.19</f>
        <v>2710.9542000000001</v>
      </c>
      <c r="I77" s="581">
        <f t="shared" si="22"/>
        <v>16979.1342</v>
      </c>
      <c r="J77" s="581"/>
    </row>
    <row r="78" spans="1:10" ht="30" x14ac:dyDescent="0.2">
      <c r="A78" s="592"/>
      <c r="B78" s="599" t="s">
        <v>762</v>
      </c>
      <c r="C78" s="600">
        <v>0</v>
      </c>
      <c r="D78" s="595">
        <f t="shared" si="20"/>
        <v>0</v>
      </c>
      <c r="E78" s="595">
        <f t="shared" si="21"/>
        <v>0</v>
      </c>
      <c r="H78" s="581">
        <f>C78*0.19</f>
        <v>0</v>
      </c>
      <c r="I78" s="581">
        <f t="shared" si="22"/>
        <v>0</v>
      </c>
      <c r="J78" s="581"/>
    </row>
    <row r="79" spans="1:10" x14ac:dyDescent="0.2">
      <c r="A79" s="602">
        <v>5.3</v>
      </c>
      <c r="B79" s="603" t="s">
        <v>763</v>
      </c>
      <c r="C79" s="601">
        <f>ROUND((C16+C20+C21+C27+C37+C48+C67)*0.1,2)</f>
        <v>363032.34</v>
      </c>
      <c r="D79" s="595">
        <f t="shared" si="20"/>
        <v>68976.14</v>
      </c>
      <c r="E79" s="595">
        <f t="shared" si="21"/>
        <v>432008.48000000004</v>
      </c>
      <c r="H79" s="581">
        <f>C79*0.19</f>
        <v>68976.1446</v>
      </c>
      <c r="I79" s="581">
        <f t="shared" si="22"/>
        <v>432008.48460000003</v>
      </c>
      <c r="J79" s="581"/>
    </row>
    <row r="80" spans="1:10" x14ac:dyDescent="0.2">
      <c r="A80" s="604">
        <v>5.4</v>
      </c>
      <c r="B80" s="605" t="s">
        <v>764</v>
      </c>
      <c r="C80" s="606">
        <v>1500</v>
      </c>
      <c r="D80" s="595">
        <f t="shared" si="20"/>
        <v>285</v>
      </c>
      <c r="E80" s="595">
        <f t="shared" si="21"/>
        <v>1785</v>
      </c>
      <c r="H80" s="581"/>
      <c r="I80" s="581"/>
      <c r="J80" s="581"/>
    </row>
    <row r="81" spans="1:10" ht="15.75" customHeight="1" x14ac:dyDescent="0.2">
      <c r="A81" s="796" t="s">
        <v>7</v>
      </c>
      <c r="B81" s="797"/>
      <c r="C81" s="607">
        <f>C70+C73+C79+C80</f>
        <v>435873.23000000004</v>
      </c>
      <c r="D81" s="607">
        <f t="shared" ref="D81:E81" si="23">D70+D73+D79+D80</f>
        <v>82815.899999999994</v>
      </c>
      <c r="E81" s="607">
        <f t="shared" si="23"/>
        <v>518689.13</v>
      </c>
      <c r="H81" s="581">
        <f>C81*0.19</f>
        <v>82815.913700000005</v>
      </c>
      <c r="I81" s="581">
        <f>C81*1.19</f>
        <v>518689.14370000002</v>
      </c>
      <c r="J81" s="581"/>
    </row>
    <row r="82" spans="1:10" ht="15.75" x14ac:dyDescent="0.2">
      <c r="A82" s="798" t="s">
        <v>765</v>
      </c>
      <c r="B82" s="799"/>
      <c r="C82" s="799"/>
      <c r="D82" s="799"/>
      <c r="E82" s="800"/>
      <c r="H82" s="581"/>
      <c r="I82" s="581"/>
      <c r="J82" s="581"/>
    </row>
    <row r="83" spans="1:10" ht="15.75" x14ac:dyDescent="0.2">
      <c r="A83" s="801" t="s">
        <v>766</v>
      </c>
      <c r="B83" s="802"/>
      <c r="C83" s="802"/>
      <c r="D83" s="802"/>
      <c r="E83" s="803"/>
      <c r="H83" s="581"/>
      <c r="I83" s="581"/>
      <c r="J83" s="581"/>
    </row>
    <row r="84" spans="1:10" x14ac:dyDescent="0.2">
      <c r="A84" s="608">
        <v>6.1</v>
      </c>
      <c r="B84" s="22" t="s">
        <v>767</v>
      </c>
      <c r="C84" s="12"/>
      <c r="D84" s="559"/>
      <c r="E84" s="559"/>
      <c r="H84" s="581"/>
      <c r="I84" s="581"/>
      <c r="J84" s="581"/>
    </row>
    <row r="85" spans="1:10" x14ac:dyDescent="0.2">
      <c r="A85" s="609">
        <v>6.2</v>
      </c>
      <c r="B85" s="610" t="s">
        <v>768</v>
      </c>
      <c r="C85" s="11"/>
      <c r="D85" s="25"/>
      <c r="E85" s="25"/>
      <c r="H85" s="581"/>
      <c r="I85" s="581"/>
      <c r="J85" s="581"/>
    </row>
    <row r="86" spans="1:10" ht="15.75" customHeight="1" x14ac:dyDescent="0.2">
      <c r="A86" s="804" t="s">
        <v>769</v>
      </c>
      <c r="B86" s="805"/>
      <c r="C86" s="6">
        <f>SUM(C84:C85)</f>
        <v>0</v>
      </c>
      <c r="D86" s="6">
        <f>SUM(D84:D85)</f>
        <v>0</v>
      </c>
      <c r="E86" s="6">
        <f>SUM(E84:E85)</f>
        <v>0</v>
      </c>
      <c r="H86" s="581"/>
      <c r="I86" s="581"/>
      <c r="J86" s="581"/>
    </row>
    <row r="87" spans="1:10" ht="15.75" x14ac:dyDescent="0.2">
      <c r="A87" s="806" t="s">
        <v>8</v>
      </c>
      <c r="B87" s="806"/>
      <c r="C87" s="15">
        <f>C22+C27+C53+C67+C81+C86</f>
        <v>4098736.6046972875</v>
      </c>
      <c r="D87" s="15">
        <f>D22+D27+D53+D67+D81+D86</f>
        <v>778759.94</v>
      </c>
      <c r="E87" s="15">
        <f>E22+E27+E53+E67+E81+E86</f>
        <v>4877496.5446972875</v>
      </c>
      <c r="H87" s="581">
        <f>C87*0.19</f>
        <v>778759.95489248459</v>
      </c>
      <c r="I87" s="581">
        <f>C87*1.19</f>
        <v>4877496.5595897716</v>
      </c>
      <c r="J87" s="581"/>
    </row>
    <row r="88" spans="1:10" ht="15.75" x14ac:dyDescent="0.2">
      <c r="A88" s="807" t="s">
        <v>770</v>
      </c>
      <c r="B88" s="807"/>
      <c r="C88" s="6">
        <f>C16+C20+C21+C27+C56+C62+C71</f>
        <v>2893633.9758972879</v>
      </c>
      <c r="D88" s="6">
        <f>D16+D20+D21+D27+D56+D62+D71</f>
        <v>549790.44999999995</v>
      </c>
      <c r="E88" s="6">
        <f>E16+E20+E21+E27+E56+E62+E71</f>
        <v>3443424.4258972877</v>
      </c>
      <c r="H88" s="581">
        <f>C88*0.19</f>
        <v>549790.45542048477</v>
      </c>
      <c r="I88" s="581">
        <f>C88*1.19</f>
        <v>3443424.4313177727</v>
      </c>
      <c r="J88" s="581"/>
    </row>
    <row r="89" spans="1:10" ht="15.75" x14ac:dyDescent="0.2">
      <c r="A89" s="8"/>
      <c r="B89" s="611" t="s">
        <v>771</v>
      </c>
      <c r="C89" s="612" t="s">
        <v>772</v>
      </c>
      <c r="D89" s="9"/>
      <c r="E89" s="9"/>
      <c r="H89" s="581"/>
      <c r="I89" s="581"/>
      <c r="J89" s="581"/>
    </row>
    <row r="90" spans="1:10" ht="15.75" x14ac:dyDescent="0.2">
      <c r="A90" s="8"/>
      <c r="B90" s="8"/>
      <c r="C90" s="9"/>
      <c r="D90" s="9"/>
      <c r="E90" s="9"/>
      <c r="H90" s="581"/>
      <c r="I90" s="581"/>
      <c r="J90" s="581"/>
    </row>
    <row r="91" spans="1:10" x14ac:dyDescent="0.2">
      <c r="E91" s="555" t="s">
        <v>713</v>
      </c>
    </row>
    <row r="92" spans="1:10" x14ac:dyDescent="0.2">
      <c r="D92" s="782" t="s">
        <v>195</v>
      </c>
      <c r="E92" s="782"/>
    </row>
    <row r="93" spans="1:10" x14ac:dyDescent="0.2">
      <c r="A93" s="2"/>
      <c r="B93" s="2"/>
      <c r="C93" s="2"/>
      <c r="D93" s="771"/>
      <c r="E93" s="771"/>
    </row>
    <row r="94" spans="1:10" x14ac:dyDescent="0.2">
      <c r="A94" s="2"/>
      <c r="C94" s="2"/>
      <c r="D94" s="2"/>
      <c r="E94" s="2"/>
    </row>
    <row r="95" spans="1:10" x14ac:dyDescent="0.2">
      <c r="A95" s="2"/>
      <c r="C95" s="2"/>
      <c r="D95" s="2"/>
      <c r="E95" s="2"/>
    </row>
    <row r="96" spans="1:10" x14ac:dyDescent="0.2">
      <c r="A96" s="2"/>
      <c r="B96" s="2"/>
      <c r="C96" s="2"/>
      <c r="D96" s="2"/>
      <c r="E96" s="2"/>
    </row>
    <row r="97" spans="1:5" x14ac:dyDescent="0.2">
      <c r="A97" s="2"/>
      <c r="B97" s="2"/>
      <c r="C97" s="2"/>
      <c r="D97" s="2"/>
      <c r="E97" s="2"/>
    </row>
    <row r="98" spans="1:5" x14ac:dyDescent="0.2">
      <c r="A98" s="2"/>
      <c r="B98" s="2"/>
      <c r="C98" s="2"/>
      <c r="D98" s="2"/>
      <c r="E98" s="2"/>
    </row>
    <row r="99" spans="1:5" x14ac:dyDescent="0.2">
      <c r="A99" s="2"/>
      <c r="B99" s="2"/>
      <c r="C99" s="2"/>
      <c r="D99" s="2"/>
      <c r="E99" s="2"/>
    </row>
    <row r="100" spans="1:5" x14ac:dyDescent="0.2">
      <c r="A100" s="2"/>
      <c r="B100" s="2"/>
      <c r="C100" s="2"/>
      <c r="D100" s="2"/>
      <c r="E100" s="2"/>
    </row>
    <row r="101" spans="1:5" x14ac:dyDescent="0.2">
      <c r="A101" s="2"/>
      <c r="B101" s="2"/>
      <c r="C101" s="2"/>
      <c r="D101" s="2"/>
      <c r="E101" s="2"/>
    </row>
    <row r="102" spans="1:5" x14ac:dyDescent="0.2">
      <c r="A102" s="2"/>
      <c r="B102" s="2"/>
      <c r="C102" s="2"/>
      <c r="D102" s="2"/>
      <c r="E102" s="2"/>
    </row>
    <row r="103" spans="1:5" x14ac:dyDescent="0.2">
      <c r="A103" s="2"/>
      <c r="B103" s="2"/>
      <c r="C103" s="2"/>
      <c r="D103" s="2"/>
      <c r="E103" s="2"/>
    </row>
    <row r="104" spans="1:5" x14ac:dyDescent="0.2">
      <c r="A104" s="2"/>
      <c r="B104" s="2"/>
      <c r="C104" s="2"/>
      <c r="D104" s="2"/>
      <c r="E104" s="2"/>
    </row>
    <row r="105" spans="1:5" x14ac:dyDescent="0.2">
      <c r="A105" s="2"/>
      <c r="B105" s="2"/>
      <c r="C105" s="2"/>
      <c r="D105" s="2"/>
      <c r="E105" s="2"/>
    </row>
    <row r="106" spans="1:5" x14ac:dyDescent="0.2">
      <c r="A106" s="2"/>
      <c r="B106" s="2"/>
      <c r="C106" s="2"/>
      <c r="D106" s="2"/>
      <c r="E106" s="2"/>
    </row>
    <row r="107" spans="1:5" x14ac:dyDescent="0.2">
      <c r="A107" s="2"/>
      <c r="B107" s="2"/>
      <c r="C107" s="2"/>
      <c r="D107" s="2"/>
      <c r="E107" s="2"/>
    </row>
    <row r="108" spans="1:5" x14ac:dyDescent="0.2">
      <c r="A108" s="2"/>
      <c r="B108" s="2"/>
      <c r="C108" s="2"/>
      <c r="D108" s="2"/>
      <c r="E108" s="2"/>
    </row>
    <row r="109" spans="1:5" x14ac:dyDescent="0.2">
      <c r="A109" s="2"/>
      <c r="B109" s="2"/>
      <c r="C109" s="2"/>
      <c r="D109" s="2"/>
      <c r="E109" s="2"/>
    </row>
    <row r="110" spans="1:5" x14ac:dyDescent="0.2">
      <c r="A110" s="2"/>
      <c r="B110" s="2"/>
      <c r="C110" s="2"/>
      <c r="D110" s="2"/>
      <c r="E110" s="2"/>
    </row>
    <row r="111" spans="1:5" x14ac:dyDescent="0.2">
      <c r="A111" s="2"/>
      <c r="B111" s="2"/>
      <c r="C111" s="2"/>
      <c r="D111" s="2"/>
      <c r="E111" s="2"/>
    </row>
  </sheetData>
  <mergeCells count="31">
    <mergeCell ref="A3:B3"/>
    <mergeCell ref="A2:B2"/>
    <mergeCell ref="A1:B1"/>
    <mergeCell ref="A14:E14"/>
    <mergeCell ref="A5:E5"/>
    <mergeCell ref="A6:E6"/>
    <mergeCell ref="A7:E7"/>
    <mergeCell ref="A8:E8"/>
    <mergeCell ref="A10:A11"/>
    <mergeCell ref="B10:B11"/>
    <mergeCell ref="A13:E13"/>
    <mergeCell ref="A69:E69"/>
    <mergeCell ref="A22:B22"/>
    <mergeCell ref="A23:E23"/>
    <mergeCell ref="A24:E24"/>
    <mergeCell ref="A27:B27"/>
    <mergeCell ref="A28:E28"/>
    <mergeCell ref="A29:E29"/>
    <mergeCell ref="A53:B53"/>
    <mergeCell ref="A54:E54"/>
    <mergeCell ref="A55:E55"/>
    <mergeCell ref="A67:B67"/>
    <mergeCell ref="A68:E68"/>
    <mergeCell ref="D92:E92"/>
    <mergeCell ref="D93:E93"/>
    <mergeCell ref="A81:B81"/>
    <mergeCell ref="A82:E82"/>
    <mergeCell ref="A83:E83"/>
    <mergeCell ref="A86:B86"/>
    <mergeCell ref="A87:B87"/>
    <mergeCell ref="A88:B88"/>
  </mergeCells>
  <pageMargins left="0.7" right="0.7" top="0.75" bottom="0.75" header="0.3" footer="0.3"/>
  <pageSetup paperSize="9" scale="80" orientation="portrait" verticalDpi="300" r:id="rId1"/>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D32" sqref="A1:E32"/>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812</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785</v>
      </c>
      <c r="B14" s="816"/>
      <c r="C14" s="816"/>
      <c r="D14" s="816"/>
      <c r="E14" s="817"/>
    </row>
    <row r="15" spans="1:8" ht="15.75" x14ac:dyDescent="0.2">
      <c r="A15" s="636" t="s">
        <v>790</v>
      </c>
      <c r="B15" s="552" t="s">
        <v>791</v>
      </c>
      <c r="C15" s="8"/>
      <c r="D15" s="8"/>
      <c r="E15" s="637"/>
    </row>
    <row r="16" spans="1:8" ht="15.75" x14ac:dyDescent="0.2">
      <c r="A16" s="553"/>
      <c r="B16" s="638" t="s">
        <v>792</v>
      </c>
      <c r="C16" s="639">
        <f>'LE-RET EXT'!F14</f>
        <v>1431.6042</v>
      </c>
      <c r="D16" s="640">
        <f t="shared" ref="D16:D19" si="0">ROUND(C16*0.19,2)</f>
        <v>272</v>
      </c>
      <c r="E16" s="640">
        <f t="shared" ref="E16:E17" si="1">C16+D16</f>
        <v>1703.6042</v>
      </c>
    </row>
    <row r="17" spans="1:8" ht="15.75" x14ac:dyDescent="0.2">
      <c r="A17" s="553"/>
      <c r="B17" s="638" t="s">
        <v>793</v>
      </c>
      <c r="C17" s="639">
        <f>'LE-RET EXT'!F24</f>
        <v>13739.798799999999</v>
      </c>
      <c r="D17" s="640">
        <f t="shared" si="0"/>
        <v>2610.56</v>
      </c>
      <c r="E17" s="640">
        <f t="shared" si="1"/>
        <v>16350.358799999998</v>
      </c>
    </row>
    <row r="18" spans="1:8" x14ac:dyDescent="0.2">
      <c r="A18" s="641"/>
      <c r="B18" s="638" t="s">
        <v>794</v>
      </c>
      <c r="C18" s="639">
        <f>'LE-RET EXT'!F32</f>
        <v>15891.706999999999</v>
      </c>
      <c r="D18" s="640">
        <f t="shared" si="0"/>
        <v>3019.42</v>
      </c>
      <c r="E18" s="640">
        <f>C18+D18</f>
        <v>18911.127</v>
      </c>
      <c r="H18" s="5"/>
    </row>
    <row r="19" spans="1:8" x14ac:dyDescent="0.2">
      <c r="A19" s="641"/>
      <c r="B19" s="638" t="s">
        <v>795</v>
      </c>
      <c r="C19" s="639">
        <f>'LE-RET EXT'!F42</f>
        <v>8801.2144999999982</v>
      </c>
      <c r="D19" s="640">
        <f t="shared" si="0"/>
        <v>1672.23</v>
      </c>
      <c r="E19" s="640">
        <f>C19+D19</f>
        <v>10473.444499999998</v>
      </c>
      <c r="H19" s="5"/>
    </row>
    <row r="20" spans="1:8" ht="15.75" x14ac:dyDescent="0.2">
      <c r="A20" s="809" t="s">
        <v>800</v>
      </c>
      <c r="B20" s="810"/>
      <c r="C20" s="6">
        <f>SUM(C16:C19)</f>
        <v>39864.324499999995</v>
      </c>
      <c r="D20" s="7">
        <f>SUM(D16:D19)</f>
        <v>7574.2099999999991</v>
      </c>
      <c r="E20" s="6">
        <f>SUM(E16:E19)</f>
        <v>47438.534499999994</v>
      </c>
      <c r="H20" s="5">
        <f>C20*1.19</f>
        <v>47438.546154999989</v>
      </c>
    </row>
    <row r="21" spans="1:8" x14ac:dyDescent="0.2">
      <c r="A21" s="566">
        <v>4.2</v>
      </c>
      <c r="B21" s="19" t="s">
        <v>707</v>
      </c>
      <c r="C21" s="12">
        <v>0</v>
      </c>
      <c r="D21" s="559">
        <f>ROUND(0.19*C21,2)</f>
        <v>0</v>
      </c>
      <c r="E21" s="559">
        <f>C21+D21</f>
        <v>0</v>
      </c>
    </row>
    <row r="22" spans="1:8" ht="15.75" x14ac:dyDescent="0.2">
      <c r="A22" s="809" t="s">
        <v>708</v>
      </c>
      <c r="B22" s="810"/>
      <c r="C22" s="7">
        <f>C21</f>
        <v>0</v>
      </c>
      <c r="D22" s="7">
        <f>D21</f>
        <v>0</v>
      </c>
      <c r="E22" s="7">
        <f>E21</f>
        <v>0</v>
      </c>
      <c r="H22" s="26">
        <f>C22*1.19</f>
        <v>0</v>
      </c>
    </row>
    <row r="23" spans="1:8" ht="30" x14ac:dyDescent="0.2">
      <c r="A23" s="566" t="s">
        <v>304</v>
      </c>
      <c r="B23" s="567" t="s">
        <v>709</v>
      </c>
      <c r="C23" s="12">
        <v>0</v>
      </c>
      <c r="D23" s="559">
        <f>ROUND(0.19*C23,2)</f>
        <v>0</v>
      </c>
      <c r="E23" s="559">
        <f>C23+D23</f>
        <v>0</v>
      </c>
    </row>
    <row r="24" spans="1:8" ht="30" x14ac:dyDescent="0.2">
      <c r="A24" s="568" t="s">
        <v>306</v>
      </c>
      <c r="B24" s="569" t="s">
        <v>754</v>
      </c>
      <c r="C24" s="14">
        <v>0</v>
      </c>
      <c r="D24" s="561">
        <f>ROUND(0.19*C24,2)</f>
        <v>0</v>
      </c>
      <c r="E24" s="561">
        <f>C24+D24</f>
        <v>0</v>
      </c>
    </row>
    <row r="25" spans="1:8" x14ac:dyDescent="0.2">
      <c r="A25" s="570" t="s">
        <v>309</v>
      </c>
      <c r="B25" s="20" t="s">
        <v>22</v>
      </c>
      <c r="C25" s="13">
        <v>0</v>
      </c>
      <c r="D25" s="563">
        <f>ROUND(0.19*C25,2)</f>
        <v>0</v>
      </c>
      <c r="E25" s="563">
        <f>C25+D25</f>
        <v>0</v>
      </c>
    </row>
    <row r="26" spans="1:8" x14ac:dyDescent="0.2">
      <c r="A26" s="570" t="s">
        <v>311</v>
      </c>
      <c r="B26" s="21" t="s">
        <v>710</v>
      </c>
      <c r="C26" s="13">
        <v>0</v>
      </c>
      <c r="D26" s="563">
        <f>ROUND(0.19*C26,2)</f>
        <v>0</v>
      </c>
      <c r="E26" s="563">
        <f>C26+D26</f>
        <v>0</v>
      </c>
    </row>
    <row r="27" spans="1:8" ht="15.75" x14ac:dyDescent="0.2">
      <c r="A27" s="809" t="s">
        <v>711</v>
      </c>
      <c r="B27" s="810"/>
      <c r="C27" s="7">
        <f>SUM(C23:C26)</f>
        <v>0</v>
      </c>
      <c r="D27" s="7">
        <f>SUM(D23:D26)</f>
        <v>0</v>
      </c>
      <c r="E27" s="7">
        <f>SUM(E23:E26)</f>
        <v>0</v>
      </c>
      <c r="H27" s="26">
        <f>C27*1.19</f>
        <v>0</v>
      </c>
    </row>
    <row r="28" spans="1:8" ht="15.75" x14ac:dyDescent="0.2">
      <c r="A28" s="571"/>
      <c r="B28" s="572" t="s">
        <v>712</v>
      </c>
      <c r="C28" s="573">
        <f>C20+C22+C27</f>
        <v>39864.324499999995</v>
      </c>
      <c r="D28" s="573">
        <f>D20+D22+D27</f>
        <v>7574.2099999999991</v>
      </c>
      <c r="E28" s="573">
        <f>E20+E22+E27</f>
        <v>47438.534499999994</v>
      </c>
    </row>
    <row r="29" spans="1:8" ht="15.75" x14ac:dyDescent="0.2">
      <c r="A29" s="8"/>
      <c r="B29" s="8"/>
      <c r="C29" s="9"/>
      <c r="D29" s="9"/>
      <c r="E29" s="9"/>
    </row>
    <row r="30" spans="1:8" ht="15.75" x14ac:dyDescent="0.2">
      <c r="A30" s="8"/>
      <c r="B30" s="8"/>
      <c r="C30" s="9"/>
      <c r="D30" s="9"/>
      <c r="E30" s="9"/>
    </row>
    <row r="31" spans="1:8" x14ac:dyDescent="0.2">
      <c r="E31" s="555" t="s">
        <v>713</v>
      </c>
    </row>
    <row r="32" spans="1:8" x14ac:dyDescent="0.2">
      <c r="D32" s="782" t="s">
        <v>195</v>
      </c>
      <c r="E32" s="782"/>
    </row>
    <row r="33" spans="1:5" x14ac:dyDescent="0.2">
      <c r="A33" s="2"/>
      <c r="B33" s="2"/>
      <c r="C33" s="2"/>
      <c r="D33" s="771"/>
      <c r="E33" s="771"/>
    </row>
    <row r="34" spans="1:5" x14ac:dyDescent="0.2">
      <c r="A34" s="2"/>
      <c r="C34" s="2"/>
      <c r="D34" s="2"/>
      <c r="E34" s="2"/>
    </row>
    <row r="35" spans="1:5" x14ac:dyDescent="0.2">
      <c r="A35" s="2"/>
      <c r="C35" s="2"/>
      <c r="D35" s="2"/>
      <c r="E35" s="2"/>
    </row>
    <row r="36" spans="1:5" x14ac:dyDescent="0.2">
      <c r="A36" s="2"/>
      <c r="B36" s="2"/>
      <c r="C36" s="2"/>
      <c r="D36" s="2"/>
      <c r="E36" s="2"/>
    </row>
    <row r="37" spans="1:5" x14ac:dyDescent="0.2">
      <c r="A37" s="2"/>
      <c r="B37" s="2"/>
      <c r="C37" s="2"/>
      <c r="D37" s="2"/>
      <c r="E37" s="2"/>
    </row>
    <row r="38" spans="1:5" x14ac:dyDescent="0.2">
      <c r="A38" s="2"/>
      <c r="B38" s="2"/>
      <c r="C38" s="2"/>
      <c r="D38" s="2"/>
      <c r="E38" s="2"/>
    </row>
    <row r="39" spans="1:5" ht="90" x14ac:dyDescent="0.2">
      <c r="A39" s="574" t="s">
        <v>714</v>
      </c>
      <c r="B39" s="575" t="s">
        <v>715</v>
      </c>
      <c r="C39" s="575"/>
      <c r="D39" s="575"/>
      <c r="E39" s="575"/>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sheetData>
  <mergeCells count="15">
    <mergeCell ref="A7:E7"/>
    <mergeCell ref="A8:E8"/>
    <mergeCell ref="A1:B1"/>
    <mergeCell ref="A2:B2"/>
    <mergeCell ref="A3:B3"/>
    <mergeCell ref="A4:B4"/>
    <mergeCell ref="A6:E6"/>
    <mergeCell ref="D32:E32"/>
    <mergeCell ref="D33:E33"/>
    <mergeCell ref="A11:A12"/>
    <mergeCell ref="B11:B12"/>
    <mergeCell ref="A14:E14"/>
    <mergeCell ref="A20:B20"/>
    <mergeCell ref="A22:B22"/>
    <mergeCell ref="A27:B27"/>
  </mergeCells>
  <pageMargins left="0.7" right="0.7" top="0.75" bottom="0.75" header="0.3" footer="0.3"/>
  <pageSetup paperSize="9" scale="75"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D32" sqref="A1:E32"/>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811</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785</v>
      </c>
      <c r="B14" s="816"/>
      <c r="C14" s="816"/>
      <c r="D14" s="816"/>
      <c r="E14" s="817"/>
    </row>
    <row r="15" spans="1:8" ht="15.75" x14ac:dyDescent="0.2">
      <c r="A15" s="636" t="s">
        <v>784</v>
      </c>
      <c r="B15" s="552" t="s">
        <v>617</v>
      </c>
      <c r="C15" s="8"/>
      <c r="D15" s="8"/>
      <c r="E15" s="637"/>
    </row>
    <row r="16" spans="1:8" ht="15.75" x14ac:dyDescent="0.2">
      <c r="A16" s="553"/>
      <c r="B16" s="638" t="s">
        <v>786</v>
      </c>
      <c r="C16" s="639">
        <f>BRANSAMENTE!F15</f>
        <v>9453.9900000000016</v>
      </c>
      <c r="D16" s="640">
        <f t="shared" ref="D16:D17" si="0">ROUND(C16*0.19,2)</f>
        <v>1796.26</v>
      </c>
      <c r="E16" s="640">
        <f t="shared" ref="E16:E17" si="1">C16+D16</f>
        <v>11250.250000000002</v>
      </c>
    </row>
    <row r="17" spans="1:8" ht="15.75" x14ac:dyDescent="0.2">
      <c r="A17" s="553"/>
      <c r="B17" s="638" t="s">
        <v>787</v>
      </c>
      <c r="C17" s="639">
        <f>BRANSAMENTE!F33</f>
        <v>9949.1990000000005</v>
      </c>
      <c r="D17" s="640">
        <f t="shared" si="0"/>
        <v>1890.35</v>
      </c>
      <c r="E17" s="640">
        <f t="shared" si="1"/>
        <v>11839.549000000001</v>
      </c>
    </row>
    <row r="18" spans="1:8" x14ac:dyDescent="0.2">
      <c r="A18" s="641"/>
      <c r="B18" s="638" t="s">
        <v>788</v>
      </c>
      <c r="C18" s="639">
        <f>BRANSAMENTE!F51</f>
        <v>6972.8499999999995</v>
      </c>
      <c r="D18" s="640">
        <f t="shared" ref="D18" si="2">ROUND(C18*0.19,2)</f>
        <v>1324.84</v>
      </c>
      <c r="E18" s="640">
        <f>C18+D18</f>
        <v>8297.6899999999987</v>
      </c>
      <c r="H18" s="5"/>
    </row>
    <row r="19" spans="1:8" x14ac:dyDescent="0.2">
      <c r="A19" s="641"/>
      <c r="B19" s="638" t="s">
        <v>789</v>
      </c>
      <c r="C19" s="639">
        <f>BRANSAMENTE!F69</f>
        <v>11119.738019</v>
      </c>
      <c r="D19" s="640">
        <f t="shared" ref="D19" si="3">ROUND(C19*0.19,2)</f>
        <v>2112.75</v>
      </c>
      <c r="E19" s="640">
        <f>C19+D19</f>
        <v>13232.488019</v>
      </c>
      <c r="H19" s="5"/>
    </row>
    <row r="20" spans="1:8" ht="15.75" x14ac:dyDescent="0.2">
      <c r="A20" s="809" t="s">
        <v>799</v>
      </c>
      <c r="B20" s="810"/>
      <c r="C20" s="6">
        <f>SUM(C16:C19)</f>
        <v>37495.777019000001</v>
      </c>
      <c r="D20" s="7">
        <f>SUM(D16:D19)</f>
        <v>7124.2</v>
      </c>
      <c r="E20" s="6">
        <f>SUM(E16:E19)</f>
        <v>44619.977018999998</v>
      </c>
      <c r="H20" s="5">
        <f>C20*1.19</f>
        <v>44619.974652609999</v>
      </c>
    </row>
    <row r="21" spans="1:8" x14ac:dyDescent="0.2">
      <c r="A21" s="566">
        <v>4.2</v>
      </c>
      <c r="B21" s="19" t="s">
        <v>707</v>
      </c>
      <c r="C21" s="12">
        <v>0</v>
      </c>
      <c r="D21" s="559">
        <f>ROUND(0.19*C21,2)</f>
        <v>0</v>
      </c>
      <c r="E21" s="559">
        <f>C21+D21</f>
        <v>0</v>
      </c>
    </row>
    <row r="22" spans="1:8" ht="15.75" x14ac:dyDescent="0.2">
      <c r="A22" s="809" t="s">
        <v>708</v>
      </c>
      <c r="B22" s="810"/>
      <c r="C22" s="7">
        <f>C21</f>
        <v>0</v>
      </c>
      <c r="D22" s="7">
        <f>D21</f>
        <v>0</v>
      </c>
      <c r="E22" s="7">
        <f>E21</f>
        <v>0</v>
      </c>
      <c r="H22" s="26">
        <f>C22*1.19</f>
        <v>0</v>
      </c>
    </row>
    <row r="23" spans="1:8" ht="30" x14ac:dyDescent="0.2">
      <c r="A23" s="566" t="s">
        <v>304</v>
      </c>
      <c r="B23" s="567" t="s">
        <v>709</v>
      </c>
      <c r="C23" s="12">
        <v>0</v>
      </c>
      <c r="D23" s="559">
        <f>ROUND(0.19*C23,2)</f>
        <v>0</v>
      </c>
      <c r="E23" s="559">
        <f>C23+D23</f>
        <v>0</v>
      </c>
    </row>
    <row r="24" spans="1:8" ht="30" x14ac:dyDescent="0.2">
      <c r="A24" s="568" t="s">
        <v>306</v>
      </c>
      <c r="B24" s="569" t="s">
        <v>754</v>
      </c>
      <c r="C24" s="14">
        <v>0</v>
      </c>
      <c r="D24" s="561">
        <f>ROUND(0.19*C24,2)</f>
        <v>0</v>
      </c>
      <c r="E24" s="561">
        <f>C24+D24</f>
        <v>0</v>
      </c>
    </row>
    <row r="25" spans="1:8" x14ac:dyDescent="0.2">
      <c r="A25" s="570" t="s">
        <v>309</v>
      </c>
      <c r="B25" s="20" t="s">
        <v>22</v>
      </c>
      <c r="C25" s="13">
        <v>0</v>
      </c>
      <c r="D25" s="563">
        <f>ROUND(0.19*C25,2)</f>
        <v>0</v>
      </c>
      <c r="E25" s="563">
        <f>C25+D25</f>
        <v>0</v>
      </c>
    </row>
    <row r="26" spans="1:8" x14ac:dyDescent="0.2">
      <c r="A26" s="570" t="s">
        <v>311</v>
      </c>
      <c r="B26" s="21" t="s">
        <v>710</v>
      </c>
      <c r="C26" s="13">
        <v>0</v>
      </c>
      <c r="D26" s="563">
        <f>ROUND(0.19*C26,2)</f>
        <v>0</v>
      </c>
      <c r="E26" s="563">
        <f>C26+D26</f>
        <v>0</v>
      </c>
    </row>
    <row r="27" spans="1:8" ht="15.75" x14ac:dyDescent="0.2">
      <c r="A27" s="809" t="s">
        <v>711</v>
      </c>
      <c r="B27" s="810"/>
      <c r="C27" s="7">
        <f>SUM(C23:C26)</f>
        <v>0</v>
      </c>
      <c r="D27" s="7">
        <f>SUM(D23:D26)</f>
        <v>0</v>
      </c>
      <c r="E27" s="7">
        <f>SUM(E23:E26)</f>
        <v>0</v>
      </c>
      <c r="H27" s="26">
        <f>C27*1.19</f>
        <v>0</v>
      </c>
    </row>
    <row r="28" spans="1:8" ht="15.75" x14ac:dyDescent="0.2">
      <c r="A28" s="571"/>
      <c r="B28" s="572" t="s">
        <v>712</v>
      </c>
      <c r="C28" s="573">
        <f>C20+C22+C27</f>
        <v>37495.777019000001</v>
      </c>
      <c r="D28" s="573">
        <f>D20+D22+D27</f>
        <v>7124.2</v>
      </c>
      <c r="E28" s="573">
        <f>E20+E22+E27</f>
        <v>44619.977018999998</v>
      </c>
    </row>
    <row r="29" spans="1:8" ht="15.75" x14ac:dyDescent="0.2">
      <c r="A29" s="8"/>
      <c r="B29" s="8"/>
      <c r="C29" s="9"/>
      <c r="D29" s="9"/>
      <c r="E29" s="9"/>
    </row>
    <row r="30" spans="1:8" ht="15.75" x14ac:dyDescent="0.2">
      <c r="A30" s="8"/>
      <c r="B30" s="8"/>
      <c r="C30" s="9"/>
      <c r="D30" s="9"/>
      <c r="E30" s="9"/>
    </row>
    <row r="31" spans="1:8" x14ac:dyDescent="0.2">
      <c r="E31" s="555" t="s">
        <v>713</v>
      </c>
    </row>
    <row r="32" spans="1:8" x14ac:dyDescent="0.2">
      <c r="D32" s="782" t="s">
        <v>195</v>
      </c>
      <c r="E32" s="782"/>
    </row>
    <row r="33" spans="1:5" x14ac:dyDescent="0.2">
      <c r="A33" s="2"/>
      <c r="B33" s="2"/>
      <c r="C33" s="2"/>
      <c r="D33" s="771"/>
      <c r="E33" s="771"/>
    </row>
    <row r="34" spans="1:5" x14ac:dyDescent="0.2">
      <c r="A34" s="2"/>
      <c r="C34" s="2"/>
      <c r="D34" s="2"/>
      <c r="E34" s="2"/>
    </row>
    <row r="35" spans="1:5" x14ac:dyDescent="0.2">
      <c r="A35" s="2"/>
      <c r="C35" s="2"/>
      <c r="D35" s="2"/>
      <c r="E35" s="2"/>
    </row>
    <row r="36" spans="1:5" x14ac:dyDescent="0.2">
      <c r="A36" s="2"/>
      <c r="B36" s="2"/>
      <c r="C36" s="2"/>
      <c r="D36" s="2"/>
      <c r="E36" s="2"/>
    </row>
    <row r="37" spans="1:5" x14ac:dyDescent="0.2">
      <c r="A37" s="2"/>
      <c r="B37" s="2"/>
      <c r="C37" s="2"/>
      <c r="D37" s="2"/>
      <c r="E37" s="2"/>
    </row>
    <row r="38" spans="1:5" x14ac:dyDescent="0.2">
      <c r="A38" s="2"/>
      <c r="B38" s="2"/>
      <c r="C38" s="2"/>
      <c r="D38" s="2"/>
      <c r="E38" s="2"/>
    </row>
    <row r="39" spans="1:5" ht="90" x14ac:dyDescent="0.2">
      <c r="A39" s="574" t="s">
        <v>714</v>
      </c>
      <c r="B39" s="575" t="s">
        <v>715</v>
      </c>
      <c r="C39" s="575"/>
      <c r="D39" s="575"/>
      <c r="E39" s="575"/>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sheetData>
  <mergeCells count="15">
    <mergeCell ref="A7:E7"/>
    <mergeCell ref="A8:E8"/>
    <mergeCell ref="A1:B1"/>
    <mergeCell ref="A2:B2"/>
    <mergeCell ref="A3:B3"/>
    <mergeCell ref="A4:B4"/>
    <mergeCell ref="A6:E6"/>
    <mergeCell ref="D32:E32"/>
    <mergeCell ref="D33:E33"/>
    <mergeCell ref="A11:A12"/>
    <mergeCell ref="B11:B12"/>
    <mergeCell ref="A14:E14"/>
    <mergeCell ref="A20:B20"/>
    <mergeCell ref="A22:B22"/>
    <mergeCell ref="A27:B27"/>
  </mergeCells>
  <pageMargins left="0.7" right="0.7" top="0.75" bottom="0.75" header="0.3" footer="0.3"/>
  <pageSetup paperSize="9" scale="75" orientation="portrait"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D28" sqref="A1:E28"/>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810</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783</v>
      </c>
      <c r="B14" s="816"/>
      <c r="C14" s="816"/>
      <c r="D14" s="816"/>
      <c r="E14" s="817"/>
    </row>
    <row r="15" spans="1:8" ht="30" x14ac:dyDescent="0.2">
      <c r="A15" s="560" t="s">
        <v>782</v>
      </c>
      <c r="B15" s="567" t="s">
        <v>723</v>
      </c>
      <c r="C15" s="13">
        <f>'SIST VERT'!F21</f>
        <v>1890.7979999999998</v>
      </c>
      <c r="D15" s="563">
        <f t="shared" ref="D15" si="0">ROUND(C15*0.19,2)</f>
        <v>359.25</v>
      </c>
      <c r="E15" s="563">
        <f>C15+D15</f>
        <v>2250.0479999999998</v>
      </c>
      <c r="H15" s="5"/>
    </row>
    <row r="16" spans="1:8" ht="15.75" x14ac:dyDescent="0.2">
      <c r="A16" s="809" t="s">
        <v>798</v>
      </c>
      <c r="B16" s="810"/>
      <c r="C16" s="6">
        <f>SUM(C15:C15)</f>
        <v>1890.7979999999998</v>
      </c>
      <c r="D16" s="7">
        <f>SUM(D15:D15)</f>
        <v>359.25</v>
      </c>
      <c r="E16" s="6">
        <f>SUM(E15:E15)</f>
        <v>2250.0479999999998</v>
      </c>
      <c r="H16" s="5">
        <f>C16*1.19</f>
        <v>2250.0496199999998</v>
      </c>
    </row>
    <row r="17" spans="1:8" x14ac:dyDescent="0.2">
      <c r="A17" s="566">
        <v>4.2</v>
      </c>
      <c r="B17" s="19" t="s">
        <v>707</v>
      </c>
      <c r="C17" s="12">
        <v>0</v>
      </c>
      <c r="D17" s="559">
        <f>ROUND(0.19*C17,2)</f>
        <v>0</v>
      </c>
      <c r="E17" s="559">
        <f>C17+D17</f>
        <v>0</v>
      </c>
    </row>
    <row r="18" spans="1:8" ht="15.75" x14ac:dyDescent="0.2">
      <c r="A18" s="809" t="s">
        <v>708</v>
      </c>
      <c r="B18" s="810"/>
      <c r="C18" s="7">
        <f>C17</f>
        <v>0</v>
      </c>
      <c r="D18" s="7">
        <f>D17</f>
        <v>0</v>
      </c>
      <c r="E18" s="7">
        <f>E17</f>
        <v>0</v>
      </c>
      <c r="H18" s="26">
        <f>C18*1.19</f>
        <v>0</v>
      </c>
    </row>
    <row r="19" spans="1:8" ht="30" x14ac:dyDescent="0.2">
      <c r="A19" s="566" t="s">
        <v>304</v>
      </c>
      <c r="B19" s="567" t="s">
        <v>709</v>
      </c>
      <c r="C19" s="12">
        <v>0</v>
      </c>
      <c r="D19" s="559">
        <f>ROUND(0.19*C19,2)</f>
        <v>0</v>
      </c>
      <c r="E19" s="559">
        <f>C19+D19</f>
        <v>0</v>
      </c>
    </row>
    <row r="20" spans="1:8" ht="30" x14ac:dyDescent="0.2">
      <c r="A20" s="568" t="s">
        <v>306</v>
      </c>
      <c r="B20" s="569" t="s">
        <v>754</v>
      </c>
      <c r="C20" s="14">
        <v>0</v>
      </c>
      <c r="D20" s="561">
        <f>ROUND(0.19*C20,2)</f>
        <v>0</v>
      </c>
      <c r="E20" s="561">
        <f>C20+D20</f>
        <v>0</v>
      </c>
    </row>
    <row r="21" spans="1:8" x14ac:dyDescent="0.2">
      <c r="A21" s="570" t="s">
        <v>309</v>
      </c>
      <c r="B21" s="20" t="s">
        <v>22</v>
      </c>
      <c r="C21" s="13">
        <v>0</v>
      </c>
      <c r="D21" s="563">
        <f>ROUND(0.19*C21,2)</f>
        <v>0</v>
      </c>
      <c r="E21" s="563">
        <f>C21+D21</f>
        <v>0</v>
      </c>
    </row>
    <row r="22" spans="1:8" x14ac:dyDescent="0.2">
      <c r="A22" s="570" t="s">
        <v>311</v>
      </c>
      <c r="B22" s="21" t="s">
        <v>710</v>
      </c>
      <c r="C22" s="13">
        <v>0</v>
      </c>
      <c r="D22" s="563">
        <f>ROUND(0.19*C22,2)</f>
        <v>0</v>
      </c>
      <c r="E22" s="563">
        <f>C22+D22</f>
        <v>0</v>
      </c>
    </row>
    <row r="23" spans="1:8" ht="15.75" x14ac:dyDescent="0.2">
      <c r="A23" s="809" t="s">
        <v>711</v>
      </c>
      <c r="B23" s="810"/>
      <c r="C23" s="7">
        <f>SUM(C19:C22)</f>
        <v>0</v>
      </c>
      <c r="D23" s="7">
        <f>SUM(D19:D22)</f>
        <v>0</v>
      </c>
      <c r="E23" s="7">
        <f>SUM(E19:E22)</f>
        <v>0</v>
      </c>
      <c r="H23" s="26">
        <f>C23*1.19</f>
        <v>0</v>
      </c>
    </row>
    <row r="24" spans="1:8" ht="15.75" x14ac:dyDescent="0.2">
      <c r="A24" s="571"/>
      <c r="B24" s="572" t="s">
        <v>712</v>
      </c>
      <c r="C24" s="573">
        <f>C16+C18+C23</f>
        <v>1890.7979999999998</v>
      </c>
      <c r="D24" s="573">
        <f>D16+D18+D23</f>
        <v>359.25</v>
      </c>
      <c r="E24" s="573">
        <f>E16+E18+E23</f>
        <v>2250.0479999999998</v>
      </c>
    </row>
    <row r="25" spans="1:8" ht="15.75" x14ac:dyDescent="0.2">
      <c r="A25" s="8"/>
      <c r="B25" s="8"/>
      <c r="C25" s="9"/>
      <c r="D25" s="9"/>
      <c r="E25" s="9"/>
    </row>
    <row r="26" spans="1:8" ht="15.75" x14ac:dyDescent="0.2">
      <c r="A26" s="8"/>
      <c r="B26" s="8"/>
      <c r="C26" s="9"/>
      <c r="D26" s="9"/>
      <c r="E26" s="9"/>
    </row>
    <row r="27" spans="1:8" x14ac:dyDescent="0.2">
      <c r="E27" s="555" t="s">
        <v>713</v>
      </c>
    </row>
    <row r="28" spans="1:8" x14ac:dyDescent="0.2">
      <c r="D28" s="782" t="s">
        <v>195</v>
      </c>
      <c r="E28" s="782"/>
    </row>
    <row r="29" spans="1:8" x14ac:dyDescent="0.2">
      <c r="A29" s="2"/>
      <c r="B29" s="2"/>
      <c r="C29" s="2"/>
      <c r="D29" s="771"/>
      <c r="E29" s="771"/>
    </row>
    <row r="30" spans="1:8" x14ac:dyDescent="0.2">
      <c r="A30" s="2"/>
      <c r="C30" s="2"/>
      <c r="D30" s="2"/>
      <c r="E30" s="2"/>
    </row>
    <row r="31" spans="1:8" x14ac:dyDescent="0.2">
      <c r="A31" s="2"/>
      <c r="C31" s="2"/>
      <c r="D31" s="2"/>
      <c r="E31" s="2"/>
    </row>
    <row r="32" spans="1:8" x14ac:dyDescent="0.2">
      <c r="A32" s="2"/>
      <c r="B32" s="2"/>
      <c r="C32" s="2"/>
      <c r="D32" s="2"/>
      <c r="E32" s="2"/>
    </row>
    <row r="33" spans="1:5" x14ac:dyDescent="0.2">
      <c r="A33" s="2"/>
      <c r="B33" s="2"/>
      <c r="C33" s="2"/>
      <c r="D33" s="2"/>
      <c r="E33" s="2"/>
    </row>
    <row r="34" spans="1:5" x14ac:dyDescent="0.2">
      <c r="A34" s="2"/>
      <c r="B34" s="2"/>
      <c r="C34" s="2"/>
      <c r="D34" s="2"/>
      <c r="E34" s="2"/>
    </row>
    <row r="35" spans="1:5" ht="90" x14ac:dyDescent="0.2">
      <c r="A35" s="574" t="s">
        <v>714</v>
      </c>
      <c r="B35" s="575" t="s">
        <v>715</v>
      </c>
      <c r="C35" s="575"/>
      <c r="D35" s="575"/>
      <c r="E35" s="575"/>
    </row>
    <row r="36" spans="1:5" x14ac:dyDescent="0.2">
      <c r="A36" s="2"/>
      <c r="B36" s="2"/>
      <c r="C36" s="2"/>
      <c r="D36" s="2"/>
      <c r="E36" s="2"/>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sheetData>
  <mergeCells count="15">
    <mergeCell ref="A7:E7"/>
    <mergeCell ref="A8:E8"/>
    <mergeCell ref="A1:B1"/>
    <mergeCell ref="A2:B2"/>
    <mergeCell ref="A3:B3"/>
    <mergeCell ref="A4:B4"/>
    <mergeCell ref="A6:E6"/>
    <mergeCell ref="D28:E28"/>
    <mergeCell ref="D29:E29"/>
    <mergeCell ref="A11:A12"/>
    <mergeCell ref="B11:B12"/>
    <mergeCell ref="A14:E14"/>
    <mergeCell ref="A16:B16"/>
    <mergeCell ref="A18:B18"/>
    <mergeCell ref="A23:B23"/>
  </mergeCells>
  <pageMargins left="0.7" right="0.7" top="0.75" bottom="0.75" header="0.3" footer="0.3"/>
  <pageSetup paperSize="9" scale="75"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F27" sqref="A1:G27"/>
    </sheetView>
  </sheetViews>
  <sheetFormatPr defaultRowHeight="15" x14ac:dyDescent="0.25"/>
  <cols>
    <col min="1" max="1" width="5.7109375" customWidth="1"/>
    <col min="2" max="2" width="51.140625" customWidth="1"/>
    <col min="3" max="3" width="9" customWidth="1"/>
    <col min="4" max="4" width="10" customWidth="1"/>
    <col min="5" max="5" width="10.28515625" customWidth="1"/>
    <col min="6" max="6" width="13.28515625" bestFit="1" customWidth="1"/>
    <col min="7" max="7" width="13.28515625" hidden="1" customWidth="1"/>
    <col min="257" max="257" width="5.7109375" customWidth="1"/>
    <col min="258" max="258" width="51.140625" customWidth="1"/>
    <col min="259" max="259" width="6.42578125" customWidth="1"/>
    <col min="260" max="260" width="6.85546875" customWidth="1"/>
    <col min="261" max="261" width="9.42578125" customWidth="1"/>
    <col min="513" max="513" width="5.7109375" customWidth="1"/>
    <col min="514" max="514" width="51.140625" customWidth="1"/>
    <col min="515" max="515" width="6.42578125" customWidth="1"/>
    <col min="516" max="516" width="6.85546875" customWidth="1"/>
    <col min="517" max="517" width="9.42578125" customWidth="1"/>
    <col min="769" max="769" width="5.7109375" customWidth="1"/>
    <col min="770" max="770" width="51.140625" customWidth="1"/>
    <col min="771" max="771" width="6.42578125" customWidth="1"/>
    <col min="772" max="772" width="6.85546875" customWidth="1"/>
    <col min="773" max="773" width="9.42578125" customWidth="1"/>
    <col min="1025" max="1025" width="5.7109375" customWidth="1"/>
    <col min="1026" max="1026" width="51.140625" customWidth="1"/>
    <col min="1027" max="1027" width="6.42578125" customWidth="1"/>
    <col min="1028" max="1028" width="6.85546875" customWidth="1"/>
    <col min="1029" max="1029" width="9.42578125" customWidth="1"/>
    <col min="1281" max="1281" width="5.7109375" customWidth="1"/>
    <col min="1282" max="1282" width="51.140625" customWidth="1"/>
    <col min="1283" max="1283" width="6.42578125" customWidth="1"/>
    <col min="1284" max="1284" width="6.85546875" customWidth="1"/>
    <col min="1285" max="1285" width="9.42578125" customWidth="1"/>
    <col min="1537" max="1537" width="5.7109375" customWidth="1"/>
    <col min="1538" max="1538" width="51.140625" customWidth="1"/>
    <col min="1539" max="1539" width="6.42578125" customWidth="1"/>
    <col min="1540" max="1540" width="6.85546875" customWidth="1"/>
    <col min="1541" max="1541" width="9.42578125" customWidth="1"/>
    <col min="1793" max="1793" width="5.7109375" customWidth="1"/>
    <col min="1794" max="1794" width="51.140625" customWidth="1"/>
    <col min="1795" max="1795" width="6.42578125" customWidth="1"/>
    <col min="1796" max="1796" width="6.85546875" customWidth="1"/>
    <col min="1797" max="1797" width="9.42578125" customWidth="1"/>
    <col min="2049" max="2049" width="5.7109375" customWidth="1"/>
    <col min="2050" max="2050" width="51.140625" customWidth="1"/>
    <col min="2051" max="2051" width="6.42578125" customWidth="1"/>
    <col min="2052" max="2052" width="6.85546875" customWidth="1"/>
    <col min="2053" max="2053" width="9.42578125" customWidth="1"/>
    <col min="2305" max="2305" width="5.7109375" customWidth="1"/>
    <col min="2306" max="2306" width="51.140625" customWidth="1"/>
    <col min="2307" max="2307" width="6.42578125" customWidth="1"/>
    <col min="2308" max="2308" width="6.85546875" customWidth="1"/>
    <col min="2309" max="2309" width="9.42578125" customWidth="1"/>
    <col min="2561" max="2561" width="5.7109375" customWidth="1"/>
    <col min="2562" max="2562" width="51.140625" customWidth="1"/>
    <col min="2563" max="2563" width="6.42578125" customWidth="1"/>
    <col min="2564" max="2564" width="6.85546875" customWidth="1"/>
    <col min="2565" max="2565" width="9.42578125" customWidth="1"/>
    <col min="2817" max="2817" width="5.7109375" customWidth="1"/>
    <col min="2818" max="2818" width="51.140625" customWidth="1"/>
    <col min="2819" max="2819" width="6.42578125" customWidth="1"/>
    <col min="2820" max="2820" width="6.85546875" customWidth="1"/>
    <col min="2821" max="2821" width="9.42578125" customWidth="1"/>
    <col min="3073" max="3073" width="5.7109375" customWidth="1"/>
    <col min="3074" max="3074" width="51.140625" customWidth="1"/>
    <col min="3075" max="3075" width="6.42578125" customWidth="1"/>
    <col min="3076" max="3076" width="6.85546875" customWidth="1"/>
    <col min="3077" max="3077" width="9.42578125" customWidth="1"/>
    <col min="3329" max="3329" width="5.7109375" customWidth="1"/>
    <col min="3330" max="3330" width="51.140625" customWidth="1"/>
    <col min="3331" max="3331" width="6.42578125" customWidth="1"/>
    <col min="3332" max="3332" width="6.85546875" customWidth="1"/>
    <col min="3333" max="3333" width="9.42578125" customWidth="1"/>
    <col min="3585" max="3585" width="5.7109375" customWidth="1"/>
    <col min="3586" max="3586" width="51.140625" customWidth="1"/>
    <col min="3587" max="3587" width="6.42578125" customWidth="1"/>
    <col min="3588" max="3588" width="6.85546875" customWidth="1"/>
    <col min="3589" max="3589" width="9.42578125" customWidth="1"/>
    <col min="3841" max="3841" width="5.7109375" customWidth="1"/>
    <col min="3842" max="3842" width="51.140625" customWidth="1"/>
    <col min="3843" max="3843" width="6.42578125" customWidth="1"/>
    <col min="3844" max="3844" width="6.85546875" customWidth="1"/>
    <col min="3845" max="3845" width="9.42578125" customWidth="1"/>
    <col min="4097" max="4097" width="5.7109375" customWidth="1"/>
    <col min="4098" max="4098" width="51.140625" customWidth="1"/>
    <col min="4099" max="4099" width="6.42578125" customWidth="1"/>
    <col min="4100" max="4100" width="6.85546875" customWidth="1"/>
    <col min="4101" max="4101" width="9.42578125" customWidth="1"/>
    <col min="4353" max="4353" width="5.7109375" customWidth="1"/>
    <col min="4354" max="4354" width="51.140625" customWidth="1"/>
    <col min="4355" max="4355" width="6.42578125" customWidth="1"/>
    <col min="4356" max="4356" width="6.85546875" customWidth="1"/>
    <col min="4357" max="4357" width="9.42578125" customWidth="1"/>
    <col min="4609" max="4609" width="5.7109375" customWidth="1"/>
    <col min="4610" max="4610" width="51.140625" customWidth="1"/>
    <col min="4611" max="4611" width="6.42578125" customWidth="1"/>
    <col min="4612" max="4612" width="6.85546875" customWidth="1"/>
    <col min="4613" max="4613" width="9.42578125" customWidth="1"/>
    <col min="4865" max="4865" width="5.7109375" customWidth="1"/>
    <col min="4866" max="4866" width="51.140625" customWidth="1"/>
    <col min="4867" max="4867" width="6.42578125" customWidth="1"/>
    <col min="4868" max="4868" width="6.85546875" customWidth="1"/>
    <col min="4869" max="4869" width="9.42578125" customWidth="1"/>
    <col min="5121" max="5121" width="5.7109375" customWidth="1"/>
    <col min="5122" max="5122" width="51.140625" customWidth="1"/>
    <col min="5123" max="5123" width="6.42578125" customWidth="1"/>
    <col min="5124" max="5124" width="6.85546875" customWidth="1"/>
    <col min="5125" max="5125" width="9.42578125" customWidth="1"/>
    <col min="5377" max="5377" width="5.7109375" customWidth="1"/>
    <col min="5378" max="5378" width="51.140625" customWidth="1"/>
    <col min="5379" max="5379" width="6.42578125" customWidth="1"/>
    <col min="5380" max="5380" width="6.85546875" customWidth="1"/>
    <col min="5381" max="5381" width="9.42578125" customWidth="1"/>
    <col min="5633" max="5633" width="5.7109375" customWidth="1"/>
    <col min="5634" max="5634" width="51.140625" customWidth="1"/>
    <col min="5635" max="5635" width="6.42578125" customWidth="1"/>
    <col min="5636" max="5636" width="6.85546875" customWidth="1"/>
    <col min="5637" max="5637" width="9.42578125" customWidth="1"/>
    <col min="5889" max="5889" width="5.7109375" customWidth="1"/>
    <col min="5890" max="5890" width="51.140625" customWidth="1"/>
    <col min="5891" max="5891" width="6.42578125" customWidth="1"/>
    <col min="5892" max="5892" width="6.85546875" customWidth="1"/>
    <col min="5893" max="5893" width="9.42578125" customWidth="1"/>
    <col min="6145" max="6145" width="5.7109375" customWidth="1"/>
    <col min="6146" max="6146" width="51.140625" customWidth="1"/>
    <col min="6147" max="6147" width="6.42578125" customWidth="1"/>
    <col min="6148" max="6148" width="6.85546875" customWidth="1"/>
    <col min="6149" max="6149" width="9.42578125" customWidth="1"/>
    <col min="6401" max="6401" width="5.7109375" customWidth="1"/>
    <col min="6402" max="6402" width="51.140625" customWidth="1"/>
    <col min="6403" max="6403" width="6.42578125" customWidth="1"/>
    <col min="6404" max="6404" width="6.85546875" customWidth="1"/>
    <col min="6405" max="6405" width="9.42578125" customWidth="1"/>
    <col min="6657" max="6657" width="5.7109375" customWidth="1"/>
    <col min="6658" max="6658" width="51.140625" customWidth="1"/>
    <col min="6659" max="6659" width="6.42578125" customWidth="1"/>
    <col min="6660" max="6660" width="6.85546875" customWidth="1"/>
    <col min="6661" max="6661" width="9.42578125" customWidth="1"/>
    <col min="6913" max="6913" width="5.7109375" customWidth="1"/>
    <col min="6914" max="6914" width="51.140625" customWidth="1"/>
    <col min="6915" max="6915" width="6.42578125" customWidth="1"/>
    <col min="6916" max="6916" width="6.85546875" customWidth="1"/>
    <col min="6917" max="6917" width="9.42578125" customWidth="1"/>
    <col min="7169" max="7169" width="5.7109375" customWidth="1"/>
    <col min="7170" max="7170" width="51.140625" customWidth="1"/>
    <col min="7171" max="7171" width="6.42578125" customWidth="1"/>
    <col min="7172" max="7172" width="6.85546875" customWidth="1"/>
    <col min="7173" max="7173" width="9.42578125" customWidth="1"/>
    <col min="7425" max="7425" width="5.7109375" customWidth="1"/>
    <col min="7426" max="7426" width="51.140625" customWidth="1"/>
    <col min="7427" max="7427" width="6.42578125" customWidth="1"/>
    <col min="7428" max="7428" width="6.85546875" customWidth="1"/>
    <col min="7429" max="7429" width="9.42578125" customWidth="1"/>
    <col min="7681" max="7681" width="5.7109375" customWidth="1"/>
    <col min="7682" max="7682" width="51.140625" customWidth="1"/>
    <col min="7683" max="7683" width="6.42578125" customWidth="1"/>
    <col min="7684" max="7684" width="6.85546875" customWidth="1"/>
    <col min="7685" max="7685" width="9.42578125" customWidth="1"/>
    <col min="7937" max="7937" width="5.7109375" customWidth="1"/>
    <col min="7938" max="7938" width="51.140625" customWidth="1"/>
    <col min="7939" max="7939" width="6.42578125" customWidth="1"/>
    <col min="7940" max="7940" width="6.85546875" customWidth="1"/>
    <col min="7941" max="7941" width="9.42578125" customWidth="1"/>
    <col min="8193" max="8193" width="5.7109375" customWidth="1"/>
    <col min="8194" max="8194" width="51.140625" customWidth="1"/>
    <col min="8195" max="8195" width="6.42578125" customWidth="1"/>
    <col min="8196" max="8196" width="6.85546875" customWidth="1"/>
    <col min="8197" max="8197" width="9.42578125" customWidth="1"/>
    <col min="8449" max="8449" width="5.7109375" customWidth="1"/>
    <col min="8450" max="8450" width="51.140625" customWidth="1"/>
    <col min="8451" max="8451" width="6.42578125" customWidth="1"/>
    <col min="8452" max="8452" width="6.85546875" customWidth="1"/>
    <col min="8453" max="8453" width="9.42578125" customWidth="1"/>
    <col min="8705" max="8705" width="5.7109375" customWidth="1"/>
    <col min="8706" max="8706" width="51.140625" customWidth="1"/>
    <col min="8707" max="8707" width="6.42578125" customWidth="1"/>
    <col min="8708" max="8708" width="6.85546875" customWidth="1"/>
    <col min="8709" max="8709" width="9.42578125" customWidth="1"/>
    <col min="8961" max="8961" width="5.7109375" customWidth="1"/>
    <col min="8962" max="8962" width="51.140625" customWidth="1"/>
    <col min="8963" max="8963" width="6.42578125" customWidth="1"/>
    <col min="8964" max="8964" width="6.85546875" customWidth="1"/>
    <col min="8965" max="8965" width="9.42578125" customWidth="1"/>
    <col min="9217" max="9217" width="5.7109375" customWidth="1"/>
    <col min="9218" max="9218" width="51.140625" customWidth="1"/>
    <col min="9219" max="9219" width="6.42578125" customWidth="1"/>
    <col min="9220" max="9220" width="6.85546875" customWidth="1"/>
    <col min="9221" max="9221" width="9.42578125" customWidth="1"/>
    <col min="9473" max="9473" width="5.7109375" customWidth="1"/>
    <col min="9474" max="9474" width="51.140625" customWidth="1"/>
    <col min="9475" max="9475" width="6.42578125" customWidth="1"/>
    <col min="9476" max="9476" width="6.85546875" customWidth="1"/>
    <col min="9477" max="9477" width="9.42578125" customWidth="1"/>
    <col min="9729" max="9729" width="5.7109375" customWidth="1"/>
    <col min="9730" max="9730" width="51.140625" customWidth="1"/>
    <col min="9731" max="9731" width="6.42578125" customWidth="1"/>
    <col min="9732" max="9732" width="6.85546875" customWidth="1"/>
    <col min="9733" max="9733" width="9.42578125" customWidth="1"/>
    <col min="9985" max="9985" width="5.7109375" customWidth="1"/>
    <col min="9986" max="9986" width="51.140625" customWidth="1"/>
    <col min="9987" max="9987" width="6.42578125" customWidth="1"/>
    <col min="9988" max="9988" width="6.85546875" customWidth="1"/>
    <col min="9989" max="9989" width="9.42578125" customWidth="1"/>
    <col min="10241" max="10241" width="5.7109375" customWidth="1"/>
    <col min="10242" max="10242" width="51.140625" customWidth="1"/>
    <col min="10243" max="10243" width="6.42578125" customWidth="1"/>
    <col min="10244" max="10244" width="6.85546875" customWidth="1"/>
    <col min="10245" max="10245" width="9.42578125" customWidth="1"/>
    <col min="10497" max="10497" width="5.7109375" customWidth="1"/>
    <col min="10498" max="10498" width="51.140625" customWidth="1"/>
    <col min="10499" max="10499" width="6.42578125" customWidth="1"/>
    <col min="10500" max="10500" width="6.85546875" customWidth="1"/>
    <col min="10501" max="10501" width="9.42578125" customWidth="1"/>
    <col min="10753" max="10753" width="5.7109375" customWidth="1"/>
    <col min="10754" max="10754" width="51.140625" customWidth="1"/>
    <col min="10755" max="10755" width="6.42578125" customWidth="1"/>
    <col min="10756" max="10756" width="6.85546875" customWidth="1"/>
    <col min="10757" max="10757" width="9.42578125" customWidth="1"/>
    <col min="11009" max="11009" width="5.7109375" customWidth="1"/>
    <col min="11010" max="11010" width="51.140625" customWidth="1"/>
    <col min="11011" max="11011" width="6.42578125" customWidth="1"/>
    <col min="11012" max="11012" width="6.85546875" customWidth="1"/>
    <col min="11013" max="11013" width="9.42578125" customWidth="1"/>
    <col min="11265" max="11265" width="5.7109375" customWidth="1"/>
    <col min="11266" max="11266" width="51.140625" customWidth="1"/>
    <col min="11267" max="11267" width="6.42578125" customWidth="1"/>
    <col min="11268" max="11268" width="6.85546875" customWidth="1"/>
    <col min="11269" max="11269" width="9.42578125" customWidth="1"/>
    <col min="11521" max="11521" width="5.7109375" customWidth="1"/>
    <col min="11522" max="11522" width="51.140625" customWidth="1"/>
    <col min="11523" max="11523" width="6.42578125" customWidth="1"/>
    <col min="11524" max="11524" width="6.85546875" customWidth="1"/>
    <col min="11525" max="11525" width="9.42578125" customWidth="1"/>
    <col min="11777" max="11777" width="5.7109375" customWidth="1"/>
    <col min="11778" max="11778" width="51.140625" customWidth="1"/>
    <col min="11779" max="11779" width="6.42578125" customWidth="1"/>
    <col min="11780" max="11780" width="6.85546875" customWidth="1"/>
    <col min="11781" max="11781" width="9.42578125" customWidth="1"/>
    <col min="12033" max="12033" width="5.7109375" customWidth="1"/>
    <col min="12034" max="12034" width="51.140625" customWidth="1"/>
    <col min="12035" max="12035" width="6.42578125" customWidth="1"/>
    <col min="12036" max="12036" width="6.85546875" customWidth="1"/>
    <col min="12037" max="12037" width="9.42578125" customWidth="1"/>
    <col min="12289" max="12289" width="5.7109375" customWidth="1"/>
    <col min="12290" max="12290" width="51.140625" customWidth="1"/>
    <col min="12291" max="12291" width="6.42578125" customWidth="1"/>
    <col min="12292" max="12292" width="6.85546875" customWidth="1"/>
    <col min="12293" max="12293" width="9.42578125" customWidth="1"/>
    <col min="12545" max="12545" width="5.7109375" customWidth="1"/>
    <col min="12546" max="12546" width="51.140625" customWidth="1"/>
    <col min="12547" max="12547" width="6.42578125" customWidth="1"/>
    <col min="12548" max="12548" width="6.85546875" customWidth="1"/>
    <col min="12549" max="12549" width="9.42578125" customWidth="1"/>
    <col min="12801" max="12801" width="5.7109375" customWidth="1"/>
    <col min="12802" max="12802" width="51.140625" customWidth="1"/>
    <col min="12803" max="12803" width="6.42578125" customWidth="1"/>
    <col min="12804" max="12804" width="6.85546875" customWidth="1"/>
    <col min="12805" max="12805" width="9.42578125" customWidth="1"/>
    <col min="13057" max="13057" width="5.7109375" customWidth="1"/>
    <col min="13058" max="13058" width="51.140625" customWidth="1"/>
    <col min="13059" max="13059" width="6.42578125" customWidth="1"/>
    <col min="13060" max="13060" width="6.85546875" customWidth="1"/>
    <col min="13061" max="13061" width="9.42578125" customWidth="1"/>
    <col min="13313" max="13313" width="5.7109375" customWidth="1"/>
    <col min="13314" max="13314" width="51.140625" customWidth="1"/>
    <col min="13315" max="13315" width="6.42578125" customWidth="1"/>
    <col min="13316" max="13316" width="6.85546875" customWidth="1"/>
    <col min="13317" max="13317" width="9.42578125" customWidth="1"/>
    <col min="13569" max="13569" width="5.7109375" customWidth="1"/>
    <col min="13570" max="13570" width="51.140625" customWidth="1"/>
    <col min="13571" max="13571" width="6.42578125" customWidth="1"/>
    <col min="13572" max="13572" width="6.85546875" customWidth="1"/>
    <col min="13573" max="13573" width="9.42578125" customWidth="1"/>
    <col min="13825" max="13825" width="5.7109375" customWidth="1"/>
    <col min="13826" max="13826" width="51.140625" customWidth="1"/>
    <col min="13827" max="13827" width="6.42578125" customWidth="1"/>
    <col min="13828" max="13828" width="6.85546875" customWidth="1"/>
    <col min="13829" max="13829" width="9.42578125" customWidth="1"/>
    <col min="14081" max="14081" width="5.7109375" customWidth="1"/>
    <col min="14082" max="14082" width="51.140625" customWidth="1"/>
    <col min="14083" max="14083" width="6.42578125" customWidth="1"/>
    <col min="14084" max="14084" width="6.85546875" customWidth="1"/>
    <col min="14085" max="14085" width="9.42578125" customWidth="1"/>
    <col min="14337" max="14337" width="5.7109375" customWidth="1"/>
    <col min="14338" max="14338" width="51.140625" customWidth="1"/>
    <col min="14339" max="14339" width="6.42578125" customWidth="1"/>
    <col min="14340" max="14340" width="6.85546875" customWidth="1"/>
    <col min="14341" max="14341" width="9.42578125" customWidth="1"/>
    <col min="14593" max="14593" width="5.7109375" customWidth="1"/>
    <col min="14594" max="14594" width="51.140625" customWidth="1"/>
    <col min="14595" max="14595" width="6.42578125" customWidth="1"/>
    <col min="14596" max="14596" width="6.85546875" customWidth="1"/>
    <col min="14597" max="14597" width="9.42578125" customWidth="1"/>
    <col min="14849" max="14849" width="5.7109375" customWidth="1"/>
    <col min="14850" max="14850" width="51.140625" customWidth="1"/>
    <col min="14851" max="14851" width="6.42578125" customWidth="1"/>
    <col min="14852" max="14852" width="6.85546875" customWidth="1"/>
    <col min="14853" max="14853" width="9.42578125" customWidth="1"/>
    <col min="15105" max="15105" width="5.7109375" customWidth="1"/>
    <col min="15106" max="15106" width="51.140625" customWidth="1"/>
    <col min="15107" max="15107" width="6.42578125" customWidth="1"/>
    <col min="15108" max="15108" width="6.85546875" customWidth="1"/>
    <col min="15109" max="15109" width="9.42578125" customWidth="1"/>
    <col min="15361" max="15361" width="5.7109375" customWidth="1"/>
    <col min="15362" max="15362" width="51.140625" customWidth="1"/>
    <col min="15363" max="15363" width="6.42578125" customWidth="1"/>
    <col min="15364" max="15364" width="6.85546875" customWidth="1"/>
    <col min="15365" max="15365" width="9.42578125" customWidth="1"/>
    <col min="15617" max="15617" width="5.7109375" customWidth="1"/>
    <col min="15618" max="15618" width="51.140625" customWidth="1"/>
    <col min="15619" max="15619" width="6.42578125" customWidth="1"/>
    <col min="15620" max="15620" width="6.85546875" customWidth="1"/>
    <col min="15621" max="15621" width="9.42578125" customWidth="1"/>
    <col min="15873" max="15873" width="5.7109375" customWidth="1"/>
    <col min="15874" max="15874" width="51.140625" customWidth="1"/>
    <col min="15875" max="15875" width="6.42578125" customWidth="1"/>
    <col min="15876" max="15876" width="6.85546875" customWidth="1"/>
    <col min="15877" max="15877" width="9.42578125" customWidth="1"/>
    <col min="16129" max="16129" width="5.7109375" customWidth="1"/>
    <col min="16130" max="16130" width="51.140625" customWidth="1"/>
    <col min="16131" max="16131" width="6.42578125" customWidth="1"/>
    <col min="16132" max="16132" width="6.85546875" customWidth="1"/>
    <col min="16133" max="16133" width="9.42578125" customWidth="1"/>
  </cols>
  <sheetData>
    <row r="1" spans="1:7" s="27" customFormat="1" ht="37.5" customHeight="1" x14ac:dyDescent="0.2">
      <c r="A1" s="727" t="s">
        <v>140</v>
      </c>
      <c r="B1" s="728"/>
      <c r="C1" s="728"/>
      <c r="D1" s="728"/>
      <c r="E1" s="728"/>
      <c r="F1" s="728"/>
      <c r="G1" s="28"/>
    </row>
    <row r="2" spans="1:7" s="27" customFormat="1" ht="12.75" x14ac:dyDescent="0.2">
      <c r="A2" s="727" t="s">
        <v>29</v>
      </c>
      <c r="B2" s="728"/>
      <c r="C2" s="728"/>
      <c r="D2" s="728"/>
      <c r="E2" s="728"/>
      <c r="F2" s="728"/>
      <c r="G2" s="77"/>
    </row>
    <row r="3" spans="1:7" x14ac:dyDescent="0.25">
      <c r="A3" s="28"/>
      <c r="B3" s="28"/>
      <c r="C3" s="28"/>
      <c r="D3" s="28"/>
      <c r="E3" s="28"/>
      <c r="F3" s="28"/>
      <c r="G3" s="506"/>
    </row>
    <row r="4" spans="1:7" x14ac:dyDescent="0.25">
      <c r="A4" s="729" t="s">
        <v>120</v>
      </c>
      <c r="B4" s="729"/>
      <c r="C4" s="729"/>
      <c r="D4" s="729"/>
      <c r="E4" s="729"/>
      <c r="F4" s="729"/>
    </row>
    <row r="5" spans="1:7" ht="15.75" hidden="1" x14ac:dyDescent="0.25">
      <c r="A5" s="1"/>
      <c r="B5" s="23" t="s">
        <v>11</v>
      </c>
      <c r="C5" s="10">
        <v>4.5019</v>
      </c>
      <c r="D5" s="730" t="s">
        <v>10</v>
      </c>
      <c r="E5" s="730"/>
      <c r="F5" s="731" t="s">
        <v>671</v>
      </c>
      <c r="G5" s="731"/>
    </row>
    <row r="6" spans="1:7" x14ac:dyDescent="0.25">
      <c r="A6" s="30" t="s">
        <v>35</v>
      </c>
      <c r="B6" s="30" t="s">
        <v>36</v>
      </c>
      <c r="C6" s="30" t="s">
        <v>37</v>
      </c>
      <c r="D6" s="30" t="s">
        <v>38</v>
      </c>
      <c r="E6" s="30" t="s">
        <v>39</v>
      </c>
      <c r="F6" s="31" t="s">
        <v>680</v>
      </c>
      <c r="G6" s="31" t="s">
        <v>40</v>
      </c>
    </row>
    <row r="7" spans="1:7" x14ac:dyDescent="0.25">
      <c r="A7" s="737" t="s">
        <v>121</v>
      </c>
      <c r="B7" s="738"/>
      <c r="C7" s="738"/>
      <c r="D7" s="738"/>
      <c r="E7" s="738"/>
      <c r="F7" s="738"/>
      <c r="G7" s="739"/>
    </row>
    <row r="8" spans="1:7" x14ac:dyDescent="0.25">
      <c r="A8" s="32">
        <v>1</v>
      </c>
      <c r="B8" s="33" t="s">
        <v>122</v>
      </c>
      <c r="C8" s="32" t="s">
        <v>43</v>
      </c>
      <c r="D8" s="34">
        <v>1</v>
      </c>
      <c r="E8" s="35">
        <f>1600*C5</f>
        <v>7203.04</v>
      </c>
      <c r="F8" s="35">
        <f>D8*E8</f>
        <v>7203.04</v>
      </c>
      <c r="G8" s="35">
        <f>F8/C5</f>
        <v>1600</v>
      </c>
    </row>
    <row r="9" spans="1:7" x14ac:dyDescent="0.25">
      <c r="A9" s="737" t="s">
        <v>123</v>
      </c>
      <c r="B9" s="738"/>
      <c r="C9" s="738"/>
      <c r="D9" s="738"/>
      <c r="E9" s="738"/>
      <c r="F9" s="738"/>
      <c r="G9" s="739"/>
    </row>
    <row r="10" spans="1:7" x14ac:dyDescent="0.25">
      <c r="A10" s="32">
        <f>A8+1</f>
        <v>2</v>
      </c>
      <c r="B10" s="33" t="s">
        <v>124</v>
      </c>
      <c r="C10" s="32" t="s">
        <v>43</v>
      </c>
      <c r="D10" s="34">
        <v>1</v>
      </c>
      <c r="E10" s="35">
        <f>2200*C5</f>
        <v>9904.18</v>
      </c>
      <c r="F10" s="35">
        <f>D10*E10</f>
        <v>9904.18</v>
      </c>
      <c r="G10" s="35">
        <f>F10/C5</f>
        <v>2200</v>
      </c>
    </row>
    <row r="11" spans="1:7" x14ac:dyDescent="0.25">
      <c r="A11" s="737" t="s">
        <v>125</v>
      </c>
      <c r="B11" s="738"/>
      <c r="C11" s="738"/>
      <c r="D11" s="738"/>
      <c r="E11" s="738"/>
      <c r="F11" s="738"/>
      <c r="G11" s="739"/>
    </row>
    <row r="12" spans="1:7" x14ac:dyDescent="0.25">
      <c r="A12" s="32">
        <f>A10+1</f>
        <v>3</v>
      </c>
      <c r="B12" s="33" t="s">
        <v>126</v>
      </c>
      <c r="C12" s="33" t="s">
        <v>43</v>
      </c>
      <c r="D12" s="34">
        <v>1</v>
      </c>
      <c r="E12" s="35">
        <f>1832*C5</f>
        <v>8247.4807999999994</v>
      </c>
      <c r="F12" s="35">
        <f>D12*E12</f>
        <v>8247.4807999999994</v>
      </c>
      <c r="G12" s="35">
        <f>F12/C5</f>
        <v>1831.9999999999998</v>
      </c>
    </row>
    <row r="13" spans="1:7" x14ac:dyDescent="0.25">
      <c r="A13" s="517">
        <f>A12+1</f>
        <v>4</v>
      </c>
      <c r="B13" s="518" t="s">
        <v>127</v>
      </c>
      <c r="C13" s="519" t="s">
        <v>43</v>
      </c>
      <c r="D13" s="520">
        <v>1</v>
      </c>
      <c r="E13" s="521">
        <f>4600*C5</f>
        <v>20708.740000000002</v>
      </c>
      <c r="F13" s="521">
        <f>D13*E13</f>
        <v>20708.740000000002</v>
      </c>
      <c r="G13" s="521">
        <f>F13/C5</f>
        <v>4600</v>
      </c>
    </row>
    <row r="14" spans="1:7" x14ac:dyDescent="0.25">
      <c r="A14" s="737" t="s">
        <v>128</v>
      </c>
      <c r="B14" s="738"/>
      <c r="C14" s="738"/>
      <c r="D14" s="738"/>
      <c r="E14" s="738"/>
      <c r="F14" s="738"/>
      <c r="G14" s="739"/>
    </row>
    <row r="15" spans="1:7" x14ac:dyDescent="0.25">
      <c r="A15" s="282">
        <f>A13+1</f>
        <v>5</v>
      </c>
      <c r="B15" s="522" t="s">
        <v>129</v>
      </c>
      <c r="C15" s="282" t="s">
        <v>43</v>
      </c>
      <c r="D15" s="282">
        <v>2</v>
      </c>
      <c r="E15" s="523">
        <f>6115*C5</f>
        <v>27529.1185</v>
      </c>
      <c r="F15" s="524">
        <f>D15*E15</f>
        <v>55058.237000000001</v>
      </c>
      <c r="G15" s="524">
        <f>F15/C5</f>
        <v>12230</v>
      </c>
    </row>
    <row r="16" spans="1:7" x14ac:dyDescent="0.25">
      <c r="A16" s="732" t="s">
        <v>130</v>
      </c>
      <c r="B16" s="733"/>
      <c r="C16" s="733"/>
      <c r="D16" s="733"/>
      <c r="E16" s="733"/>
      <c r="F16" s="733"/>
      <c r="G16" s="734"/>
    </row>
    <row r="17" spans="1:11" ht="25.5" x14ac:dyDescent="0.25">
      <c r="A17" s="72">
        <f>A15+1</f>
        <v>6</v>
      </c>
      <c r="B17" s="73" t="s">
        <v>131</v>
      </c>
      <c r="C17" s="74" t="s">
        <v>47</v>
      </c>
      <c r="D17" s="75">
        <v>1</v>
      </c>
      <c r="E17" s="76">
        <f>23500*C5</f>
        <v>105794.65</v>
      </c>
      <c r="F17" s="76">
        <f t="shared" ref="F17:F25" si="0">D17*E17</f>
        <v>105794.65</v>
      </c>
      <c r="G17" s="76">
        <f>F17/C5</f>
        <v>23500</v>
      </c>
    </row>
    <row r="18" spans="1:11" x14ac:dyDescent="0.25">
      <c r="A18" s="732" t="s">
        <v>132</v>
      </c>
      <c r="B18" s="733"/>
      <c r="C18" s="733"/>
      <c r="D18" s="733"/>
      <c r="E18" s="733"/>
      <c r="F18" s="733"/>
      <c r="G18" s="734"/>
    </row>
    <row r="19" spans="1:11" x14ac:dyDescent="0.25">
      <c r="A19" s="32">
        <f>A17+1</f>
        <v>7</v>
      </c>
      <c r="B19" s="33" t="s">
        <v>133</v>
      </c>
      <c r="C19" s="33" t="s">
        <v>47</v>
      </c>
      <c r="D19" s="34">
        <v>1</v>
      </c>
      <c r="E19" s="35">
        <f>4350*C5</f>
        <v>19583.264999999999</v>
      </c>
      <c r="F19" s="35">
        <f t="shared" si="0"/>
        <v>19583.264999999999</v>
      </c>
      <c r="G19" s="35">
        <f>F19/C5</f>
        <v>4350</v>
      </c>
    </row>
    <row r="20" spans="1:11" x14ac:dyDescent="0.25">
      <c r="A20" s="732" t="s">
        <v>134</v>
      </c>
      <c r="B20" s="733"/>
      <c r="C20" s="733"/>
      <c r="D20" s="733"/>
      <c r="E20" s="733"/>
      <c r="F20" s="733"/>
      <c r="G20" s="734"/>
    </row>
    <row r="21" spans="1:11" x14ac:dyDescent="0.25">
      <c r="A21" s="47">
        <f>A19+1</f>
        <v>8</v>
      </c>
      <c r="B21" s="43" t="s">
        <v>135</v>
      </c>
      <c r="C21" s="43" t="s">
        <v>47</v>
      </c>
      <c r="D21" s="44">
        <v>1</v>
      </c>
      <c r="E21" s="45">
        <f>4220*C5</f>
        <v>18998.018</v>
      </c>
      <c r="F21" s="45">
        <f>D21*E21</f>
        <v>18998.018</v>
      </c>
      <c r="G21" s="45">
        <f>F21/C5</f>
        <v>4220</v>
      </c>
    </row>
    <row r="22" spans="1:11" x14ac:dyDescent="0.25">
      <c r="A22" s="735" t="s">
        <v>136</v>
      </c>
      <c r="B22" s="736"/>
      <c r="C22" s="736"/>
      <c r="D22" s="736"/>
      <c r="E22" s="736"/>
      <c r="F22" s="736"/>
      <c r="G22" s="736"/>
    </row>
    <row r="23" spans="1:11" x14ac:dyDescent="0.25">
      <c r="A23" s="36">
        <v>9</v>
      </c>
      <c r="B23" s="43" t="s">
        <v>137</v>
      </c>
      <c r="C23" s="47" t="s">
        <v>43</v>
      </c>
      <c r="D23" s="44">
        <v>1</v>
      </c>
      <c r="E23" s="45">
        <f>300*C5</f>
        <v>1350.57</v>
      </c>
      <c r="F23" s="45">
        <f t="shared" si="0"/>
        <v>1350.57</v>
      </c>
      <c r="G23" s="45">
        <f>F23/C5</f>
        <v>300</v>
      </c>
    </row>
    <row r="24" spans="1:11" x14ac:dyDescent="0.25">
      <c r="A24" s="36">
        <f>A23+1</f>
        <v>10</v>
      </c>
      <c r="B24" s="43" t="s">
        <v>138</v>
      </c>
      <c r="C24" s="47" t="s">
        <v>43</v>
      </c>
      <c r="D24" s="44">
        <v>1</v>
      </c>
      <c r="E24" s="45">
        <f>350*C5</f>
        <v>1575.665</v>
      </c>
      <c r="F24" s="45">
        <f t="shared" si="0"/>
        <v>1575.665</v>
      </c>
      <c r="G24" s="45">
        <f>F24/C5</f>
        <v>350</v>
      </c>
    </row>
    <row r="25" spans="1:11" x14ac:dyDescent="0.25">
      <c r="A25" s="36">
        <f>A24+1</f>
        <v>11</v>
      </c>
      <c r="B25" s="43" t="s">
        <v>139</v>
      </c>
      <c r="C25" s="47" t="s">
        <v>43</v>
      </c>
      <c r="D25" s="44">
        <v>1</v>
      </c>
      <c r="E25" s="45">
        <f>350*C5</f>
        <v>1575.665</v>
      </c>
      <c r="F25" s="45">
        <f t="shared" si="0"/>
        <v>1575.665</v>
      </c>
      <c r="G25" s="45">
        <f>F25/C5</f>
        <v>350</v>
      </c>
    </row>
    <row r="26" spans="1:11" x14ac:dyDescent="0.25">
      <c r="A26" s="63"/>
      <c r="B26" s="64" t="s">
        <v>382</v>
      </c>
      <c r="C26" s="65"/>
      <c r="D26" s="66"/>
      <c r="E26" s="66"/>
      <c r="F26" s="613">
        <f>SUM(F8:F25)</f>
        <v>249999.51080000002</v>
      </c>
      <c r="G26" s="67">
        <f>SUM(G8:G25)</f>
        <v>55532</v>
      </c>
      <c r="K26" s="67"/>
    </row>
    <row r="27" spans="1:11" x14ac:dyDescent="0.25">
      <c r="A27" s="68"/>
      <c r="B27" s="69"/>
      <c r="C27" s="68"/>
      <c r="D27" s="70"/>
      <c r="E27" s="70"/>
      <c r="F27" s="71" t="s">
        <v>816</v>
      </c>
      <c r="G27" s="71"/>
    </row>
    <row r="33" spans="2:7" x14ac:dyDescent="0.25">
      <c r="B33" t="s">
        <v>30</v>
      </c>
    </row>
    <row r="46" spans="2:7" x14ac:dyDescent="0.25">
      <c r="C46" s="230"/>
      <c r="D46" s="230"/>
      <c r="E46" s="230"/>
      <c r="F46" s="230"/>
      <c r="G46" s="230"/>
    </row>
  </sheetData>
  <mergeCells count="13">
    <mergeCell ref="A1:F1"/>
    <mergeCell ref="A2:F2"/>
    <mergeCell ref="A4:F4"/>
    <mergeCell ref="D5:E5"/>
    <mergeCell ref="F5:G5"/>
    <mergeCell ref="A18:G18"/>
    <mergeCell ref="A20:G20"/>
    <mergeCell ref="A22:G22"/>
    <mergeCell ref="A7:G7"/>
    <mergeCell ref="A9:G9"/>
    <mergeCell ref="A11:G11"/>
    <mergeCell ref="A14:G14"/>
    <mergeCell ref="A16:G16"/>
  </mergeCells>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9" sqref="A1:E29"/>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809</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783</v>
      </c>
      <c r="B14" s="816"/>
      <c r="C14" s="816"/>
      <c r="D14" s="816"/>
      <c r="E14" s="817"/>
    </row>
    <row r="15" spans="1:8" x14ac:dyDescent="0.2">
      <c r="A15" s="558" t="s">
        <v>780</v>
      </c>
      <c r="B15" s="19" t="s">
        <v>2</v>
      </c>
      <c r="C15" s="12"/>
      <c r="D15" s="559"/>
      <c r="E15" s="559"/>
      <c r="H15" s="5"/>
    </row>
    <row r="16" spans="1:8" x14ac:dyDescent="0.2">
      <c r="A16" s="560"/>
      <c r="B16" s="19" t="s">
        <v>722</v>
      </c>
      <c r="C16" s="13">
        <f>'PLATF. BET'!F17+'PLATF. BET'!F27+'PLATF. BET'!F40</f>
        <v>49433.174050000001</v>
      </c>
      <c r="D16" s="563">
        <f t="shared" ref="D16" si="0">ROUND(C16*0.19,2)</f>
        <v>9392.2999999999993</v>
      </c>
      <c r="E16" s="563">
        <f>C16+D16</f>
        <v>58825.474050000004</v>
      </c>
      <c r="H16" s="5"/>
    </row>
    <row r="17" spans="1:8" ht="15.75" x14ac:dyDescent="0.2">
      <c r="A17" s="809" t="s">
        <v>797</v>
      </c>
      <c r="B17" s="810"/>
      <c r="C17" s="6">
        <f>SUM(C15:C16)</f>
        <v>49433.174050000001</v>
      </c>
      <c r="D17" s="7">
        <f>SUM(D15:D16)</f>
        <v>9392.2999999999993</v>
      </c>
      <c r="E17" s="6">
        <f>SUM(E15:E16)</f>
        <v>58825.474050000004</v>
      </c>
      <c r="H17" s="5">
        <f>C17*1.19</f>
        <v>58825.477119499999</v>
      </c>
    </row>
    <row r="18" spans="1:8" x14ac:dyDescent="0.2">
      <c r="A18" s="566">
        <v>4.2</v>
      </c>
      <c r="B18" s="19" t="s">
        <v>707</v>
      </c>
      <c r="C18" s="12">
        <v>0</v>
      </c>
      <c r="D18" s="559">
        <f>ROUND(0.19*C18,2)</f>
        <v>0</v>
      </c>
      <c r="E18" s="559">
        <f>C18+D18</f>
        <v>0</v>
      </c>
    </row>
    <row r="19" spans="1:8" ht="15.75" x14ac:dyDescent="0.2">
      <c r="A19" s="809" t="s">
        <v>708</v>
      </c>
      <c r="B19" s="810"/>
      <c r="C19" s="7">
        <f>C18</f>
        <v>0</v>
      </c>
      <c r="D19" s="7">
        <f>D18</f>
        <v>0</v>
      </c>
      <c r="E19" s="7">
        <f>E18</f>
        <v>0</v>
      </c>
      <c r="H19" s="26">
        <f>C19*1.19</f>
        <v>0</v>
      </c>
    </row>
    <row r="20" spans="1:8" ht="30" x14ac:dyDescent="0.2">
      <c r="A20" s="566" t="s">
        <v>304</v>
      </c>
      <c r="B20" s="567" t="s">
        <v>709</v>
      </c>
      <c r="C20" s="12">
        <v>0</v>
      </c>
      <c r="D20" s="559">
        <f>ROUND(0.19*C20,2)</f>
        <v>0</v>
      </c>
      <c r="E20" s="559">
        <f>C20+D20</f>
        <v>0</v>
      </c>
    </row>
    <row r="21" spans="1:8" ht="30" x14ac:dyDescent="0.2">
      <c r="A21" s="568" t="s">
        <v>306</v>
      </c>
      <c r="B21" s="569" t="s">
        <v>754</v>
      </c>
      <c r="C21" s="14">
        <v>0</v>
      </c>
      <c r="D21" s="561">
        <f>ROUND(0.19*C21,2)</f>
        <v>0</v>
      </c>
      <c r="E21" s="561">
        <f>C21+D21</f>
        <v>0</v>
      </c>
    </row>
    <row r="22" spans="1:8" x14ac:dyDescent="0.2">
      <c r="A22" s="570" t="s">
        <v>309</v>
      </c>
      <c r="B22" s="20" t="s">
        <v>22</v>
      </c>
      <c r="C22" s="13">
        <f>'PLATF. BET'!F45</f>
        <v>3718</v>
      </c>
      <c r="D22" s="563">
        <f>ROUND(0.19*C22,2)</f>
        <v>706.42</v>
      </c>
      <c r="E22" s="563">
        <f>C22+D22</f>
        <v>4424.42</v>
      </c>
    </row>
    <row r="23" spans="1:8" x14ac:dyDescent="0.2">
      <c r="A23" s="570" t="s">
        <v>311</v>
      </c>
      <c r="B23" s="21" t="s">
        <v>710</v>
      </c>
      <c r="C23" s="13">
        <v>0</v>
      </c>
      <c r="D23" s="563">
        <f>ROUND(0.19*C23,2)</f>
        <v>0</v>
      </c>
      <c r="E23" s="563">
        <f>C23+D23</f>
        <v>0</v>
      </c>
    </row>
    <row r="24" spans="1:8" ht="15.75" x14ac:dyDescent="0.2">
      <c r="A24" s="809" t="s">
        <v>711</v>
      </c>
      <c r="B24" s="810"/>
      <c r="C24" s="7">
        <f>SUM(C20:C23)</f>
        <v>3718</v>
      </c>
      <c r="D24" s="7">
        <f>SUM(D20:D23)</f>
        <v>706.42</v>
      </c>
      <c r="E24" s="7">
        <f>SUM(E20:E23)</f>
        <v>4424.42</v>
      </c>
      <c r="H24" s="26">
        <f>C24*1.19</f>
        <v>4424.42</v>
      </c>
    </row>
    <row r="25" spans="1:8" ht="15.75" x14ac:dyDescent="0.2">
      <c r="A25" s="571"/>
      <c r="B25" s="572" t="s">
        <v>712</v>
      </c>
      <c r="C25" s="573">
        <f>C17+C19+C24</f>
        <v>53151.174050000001</v>
      </c>
      <c r="D25" s="573">
        <f>D17+D19+D24</f>
        <v>10098.719999999999</v>
      </c>
      <c r="E25" s="573">
        <f>E17+E19+E24</f>
        <v>63249.894050000003</v>
      </c>
    </row>
    <row r="26" spans="1:8" ht="15.75" x14ac:dyDescent="0.2">
      <c r="A26" s="8"/>
      <c r="B26" s="8"/>
      <c r="C26" s="9"/>
      <c r="D26" s="9"/>
      <c r="E26" s="9"/>
    </row>
    <row r="27" spans="1:8" ht="15.75" x14ac:dyDescent="0.2">
      <c r="A27" s="8"/>
      <c r="B27" s="8"/>
      <c r="C27" s="9"/>
      <c r="D27" s="9"/>
      <c r="E27" s="9"/>
    </row>
    <row r="28" spans="1:8" x14ac:dyDescent="0.2">
      <c r="E28" s="555" t="s">
        <v>713</v>
      </c>
    </row>
    <row r="29" spans="1:8" x14ac:dyDescent="0.2">
      <c r="D29" s="782" t="s">
        <v>195</v>
      </c>
      <c r="E29" s="782"/>
    </row>
    <row r="30" spans="1:8" x14ac:dyDescent="0.2">
      <c r="A30" s="2"/>
      <c r="B30" s="2"/>
      <c r="C30" s="2"/>
      <c r="D30" s="771"/>
      <c r="E30" s="771"/>
    </row>
    <row r="31" spans="1:8" x14ac:dyDescent="0.2">
      <c r="A31" s="2"/>
      <c r="C31" s="2"/>
      <c r="D31" s="2"/>
      <c r="E31" s="2"/>
    </row>
    <row r="32" spans="1:8" x14ac:dyDescent="0.2">
      <c r="A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ht="90" x14ac:dyDescent="0.2">
      <c r="A36" s="574" t="s">
        <v>714</v>
      </c>
      <c r="B36" s="575" t="s">
        <v>715</v>
      </c>
      <c r="C36" s="575"/>
      <c r="D36" s="575"/>
      <c r="E36" s="575"/>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sheetData>
  <mergeCells count="15">
    <mergeCell ref="A7:E7"/>
    <mergeCell ref="A8:E8"/>
    <mergeCell ref="A1:B1"/>
    <mergeCell ref="A2:B2"/>
    <mergeCell ref="A3:B3"/>
    <mergeCell ref="A4:B4"/>
    <mergeCell ref="A6:E6"/>
    <mergeCell ref="D29:E29"/>
    <mergeCell ref="D30:E30"/>
    <mergeCell ref="A11:A12"/>
    <mergeCell ref="B11:B12"/>
    <mergeCell ref="A14:E14"/>
    <mergeCell ref="A17:B17"/>
    <mergeCell ref="A19:B19"/>
    <mergeCell ref="A24:B24"/>
  </mergeCells>
  <pageMargins left="0.7" right="0.7" top="0.75" bottom="0.75" header="0.3" footer="0.3"/>
  <pageSetup paperSize="9" scale="75"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9" sqref="A1:E29"/>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808</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783</v>
      </c>
      <c r="B14" s="816"/>
      <c r="C14" s="816"/>
      <c r="D14" s="816"/>
      <c r="E14" s="817"/>
    </row>
    <row r="15" spans="1:8" x14ac:dyDescent="0.2">
      <c r="A15" s="558" t="s">
        <v>780</v>
      </c>
      <c r="B15" s="19" t="s">
        <v>2</v>
      </c>
      <c r="C15" s="12"/>
      <c r="D15" s="559"/>
      <c r="E15" s="559"/>
      <c r="H15" s="5"/>
    </row>
    <row r="16" spans="1:8" x14ac:dyDescent="0.2">
      <c r="A16" s="560"/>
      <c r="B16" s="19" t="s">
        <v>781</v>
      </c>
      <c r="C16" s="13">
        <f>'SIST VERT'!F16</f>
        <v>14000.909000000001</v>
      </c>
      <c r="D16" s="563">
        <f t="shared" ref="D16" si="0">ROUND(C16*0.19,2)</f>
        <v>2660.17</v>
      </c>
      <c r="E16" s="563">
        <f>C16+D16</f>
        <v>16661.079000000002</v>
      </c>
      <c r="H16" s="5"/>
    </row>
    <row r="17" spans="1:8" ht="15.75" x14ac:dyDescent="0.2">
      <c r="A17" s="809" t="s">
        <v>797</v>
      </c>
      <c r="B17" s="810"/>
      <c r="C17" s="6">
        <f>SUM(C15:C16)</f>
        <v>14000.909000000001</v>
      </c>
      <c r="D17" s="7">
        <f>SUM(D15:D16)</f>
        <v>2660.17</v>
      </c>
      <c r="E17" s="6">
        <f>SUM(E15:E16)</f>
        <v>16661.079000000002</v>
      </c>
      <c r="H17" s="5">
        <f>C17*1.19</f>
        <v>16661.081710000002</v>
      </c>
    </row>
    <row r="18" spans="1:8" x14ac:dyDescent="0.2">
      <c r="A18" s="566">
        <v>4.2</v>
      </c>
      <c r="B18" s="19" t="s">
        <v>707</v>
      </c>
      <c r="C18" s="12">
        <v>0</v>
      </c>
      <c r="D18" s="559">
        <f>ROUND(0.19*C18,2)</f>
        <v>0</v>
      </c>
      <c r="E18" s="559">
        <f>C18+D18</f>
        <v>0</v>
      </c>
    </row>
    <row r="19" spans="1:8" ht="15.75" x14ac:dyDescent="0.2">
      <c r="A19" s="809" t="s">
        <v>708</v>
      </c>
      <c r="B19" s="810"/>
      <c r="C19" s="7">
        <f>C18</f>
        <v>0</v>
      </c>
      <c r="D19" s="7">
        <f>D18</f>
        <v>0</v>
      </c>
      <c r="E19" s="7">
        <f>E18</f>
        <v>0</v>
      </c>
      <c r="H19" s="26">
        <f>C19*1.19</f>
        <v>0</v>
      </c>
    </row>
    <row r="20" spans="1:8" ht="30" x14ac:dyDescent="0.2">
      <c r="A20" s="566" t="s">
        <v>304</v>
      </c>
      <c r="B20" s="567" t="s">
        <v>709</v>
      </c>
      <c r="C20" s="12">
        <v>0</v>
      </c>
      <c r="D20" s="559">
        <f>ROUND(0.19*C20,2)</f>
        <v>0</v>
      </c>
      <c r="E20" s="559">
        <f>C20+D20</f>
        <v>0</v>
      </c>
    </row>
    <row r="21" spans="1:8" ht="30" x14ac:dyDescent="0.2">
      <c r="A21" s="568" t="s">
        <v>306</v>
      </c>
      <c r="B21" s="569" t="s">
        <v>754</v>
      </c>
      <c r="C21" s="14">
        <v>0</v>
      </c>
      <c r="D21" s="561">
        <f>ROUND(0.19*C21,2)</f>
        <v>0</v>
      </c>
      <c r="E21" s="561">
        <f>C21+D21</f>
        <v>0</v>
      </c>
    </row>
    <row r="22" spans="1:8" x14ac:dyDescent="0.2">
      <c r="A22" s="570" t="s">
        <v>309</v>
      </c>
      <c r="B22" s="20" t="s">
        <v>22</v>
      </c>
      <c r="C22" s="13">
        <v>0</v>
      </c>
      <c r="D22" s="563">
        <f>ROUND(0.19*C22,2)</f>
        <v>0</v>
      </c>
      <c r="E22" s="563">
        <f>C22+D22</f>
        <v>0</v>
      </c>
    </row>
    <row r="23" spans="1:8" x14ac:dyDescent="0.2">
      <c r="A23" s="570" t="s">
        <v>311</v>
      </c>
      <c r="B23" s="21" t="s">
        <v>710</v>
      </c>
      <c r="C23" s="13">
        <v>0</v>
      </c>
      <c r="D23" s="563">
        <f>ROUND(0.19*C23,2)</f>
        <v>0</v>
      </c>
      <c r="E23" s="563">
        <f>C23+D23</f>
        <v>0</v>
      </c>
    </row>
    <row r="24" spans="1:8" ht="15.75" x14ac:dyDescent="0.2">
      <c r="A24" s="809" t="s">
        <v>711</v>
      </c>
      <c r="B24" s="810"/>
      <c r="C24" s="7">
        <f>SUM(C20:C23)</f>
        <v>0</v>
      </c>
      <c r="D24" s="7">
        <f>SUM(D20:D23)</f>
        <v>0</v>
      </c>
      <c r="E24" s="7">
        <f>SUM(E20:E23)</f>
        <v>0</v>
      </c>
      <c r="H24" s="26">
        <f>C24*1.19</f>
        <v>0</v>
      </c>
    </row>
    <row r="25" spans="1:8" ht="15.75" x14ac:dyDescent="0.2">
      <c r="A25" s="571"/>
      <c r="B25" s="572" t="s">
        <v>712</v>
      </c>
      <c r="C25" s="573">
        <f>C17+C19+C24</f>
        <v>14000.909000000001</v>
      </c>
      <c r="D25" s="573">
        <f>D17+D19+D24</f>
        <v>2660.17</v>
      </c>
      <c r="E25" s="573">
        <f>E17+E19+E24</f>
        <v>16661.079000000002</v>
      </c>
    </row>
    <row r="26" spans="1:8" ht="15.75" x14ac:dyDescent="0.2">
      <c r="A26" s="8"/>
      <c r="B26" s="8"/>
      <c r="C26" s="9"/>
      <c r="D26" s="9"/>
      <c r="E26" s="9"/>
    </row>
    <row r="27" spans="1:8" ht="15.75" x14ac:dyDescent="0.2">
      <c r="A27" s="8"/>
      <c r="B27" s="8"/>
      <c r="C27" s="9"/>
      <c r="D27" s="9"/>
      <c r="E27" s="9"/>
    </row>
    <row r="28" spans="1:8" x14ac:dyDescent="0.2">
      <c r="E28" s="555" t="s">
        <v>713</v>
      </c>
    </row>
    <row r="29" spans="1:8" x14ac:dyDescent="0.2">
      <c r="D29" s="782" t="s">
        <v>195</v>
      </c>
      <c r="E29" s="782"/>
    </row>
    <row r="30" spans="1:8" x14ac:dyDescent="0.2">
      <c r="A30" s="2"/>
      <c r="B30" s="2"/>
      <c r="C30" s="2"/>
      <c r="D30" s="771"/>
      <c r="E30" s="771"/>
    </row>
    <row r="31" spans="1:8" x14ac:dyDescent="0.2">
      <c r="A31" s="2"/>
      <c r="C31" s="2"/>
      <c r="D31" s="2"/>
      <c r="E31" s="2"/>
    </row>
    <row r="32" spans="1:8" x14ac:dyDescent="0.2">
      <c r="A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ht="90" x14ac:dyDescent="0.2">
      <c r="A36" s="574" t="s">
        <v>714</v>
      </c>
      <c r="B36" s="575" t="s">
        <v>715</v>
      </c>
      <c r="C36" s="575"/>
      <c r="D36" s="575"/>
      <c r="E36" s="575"/>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sheetData>
  <mergeCells count="15">
    <mergeCell ref="A7:E7"/>
    <mergeCell ref="A8:E8"/>
    <mergeCell ref="A1:B1"/>
    <mergeCell ref="A2:B2"/>
    <mergeCell ref="A3:B3"/>
    <mergeCell ref="A4:B4"/>
    <mergeCell ref="A6:E6"/>
    <mergeCell ref="D29:E29"/>
    <mergeCell ref="D30:E30"/>
    <mergeCell ref="A11:A12"/>
    <mergeCell ref="B11:B12"/>
    <mergeCell ref="A14:E14"/>
    <mergeCell ref="A17:B17"/>
    <mergeCell ref="A19:B19"/>
    <mergeCell ref="A24:B24"/>
  </mergeCells>
  <pageMargins left="0.7" right="0.7" top="0.75" bottom="0.75" header="0.3" footer="0.3"/>
  <pageSetup paperSize="9" scale="75"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9" sqref="A1:E29"/>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807</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694</v>
      </c>
      <c r="B14" s="816"/>
      <c r="C14" s="816"/>
      <c r="D14" s="816"/>
      <c r="E14" s="817"/>
    </row>
    <row r="15" spans="1:8" x14ac:dyDescent="0.2">
      <c r="A15" s="558" t="s">
        <v>695</v>
      </c>
      <c r="B15" s="19" t="s">
        <v>696</v>
      </c>
      <c r="C15" s="12"/>
      <c r="D15" s="559"/>
      <c r="E15" s="559"/>
      <c r="H15" s="5"/>
    </row>
    <row r="16" spans="1:8" x14ac:dyDescent="0.2">
      <c r="A16" s="560" t="s">
        <v>779</v>
      </c>
      <c r="B16" s="19" t="s">
        <v>28</v>
      </c>
      <c r="C16" s="13">
        <f>'SIST VERT'!F29</f>
        <v>5177.1849999999995</v>
      </c>
      <c r="D16" s="563">
        <f t="shared" ref="D16" si="0">ROUND(C16*0.19,2)</f>
        <v>983.67</v>
      </c>
      <c r="E16" s="563">
        <f>C16+D16</f>
        <v>6160.8549999999996</v>
      </c>
      <c r="H16" s="5"/>
    </row>
    <row r="17" spans="1:8" ht="15.75" x14ac:dyDescent="0.2">
      <c r="A17" s="809" t="s">
        <v>796</v>
      </c>
      <c r="B17" s="810"/>
      <c r="C17" s="6">
        <f>SUM(C15:C16)</f>
        <v>5177.1849999999995</v>
      </c>
      <c r="D17" s="7">
        <f>SUM(D15:D16)</f>
        <v>983.67</v>
      </c>
      <c r="E17" s="6">
        <f>SUM(E15:E16)</f>
        <v>6160.8549999999996</v>
      </c>
      <c r="H17" s="5">
        <f>C17*1.19</f>
        <v>6160.8501499999993</v>
      </c>
    </row>
    <row r="18" spans="1:8" x14ac:dyDescent="0.2">
      <c r="A18" s="566">
        <v>4.2</v>
      </c>
      <c r="B18" s="19" t="s">
        <v>707</v>
      </c>
      <c r="C18" s="12">
        <v>0</v>
      </c>
      <c r="D18" s="559">
        <f>ROUND(0.19*C18,2)</f>
        <v>0</v>
      </c>
      <c r="E18" s="559">
        <f>C18+D18</f>
        <v>0</v>
      </c>
    </row>
    <row r="19" spans="1:8" ht="15.75" x14ac:dyDescent="0.2">
      <c r="A19" s="809" t="s">
        <v>708</v>
      </c>
      <c r="B19" s="810"/>
      <c r="C19" s="7">
        <f>C18</f>
        <v>0</v>
      </c>
      <c r="D19" s="7">
        <f>D18</f>
        <v>0</v>
      </c>
      <c r="E19" s="7">
        <f>E18</f>
        <v>0</v>
      </c>
      <c r="H19" s="26">
        <f>C19*1.19</f>
        <v>0</v>
      </c>
    </row>
    <row r="20" spans="1:8" ht="30" x14ac:dyDescent="0.2">
      <c r="A20" s="566" t="s">
        <v>304</v>
      </c>
      <c r="B20" s="567" t="s">
        <v>709</v>
      </c>
      <c r="C20" s="12">
        <v>0</v>
      </c>
      <c r="D20" s="559">
        <f>ROUND(0.19*C20,2)</f>
        <v>0</v>
      </c>
      <c r="E20" s="559">
        <f>C20+D20</f>
        <v>0</v>
      </c>
    </row>
    <row r="21" spans="1:8" ht="30" x14ac:dyDescent="0.2">
      <c r="A21" s="568" t="s">
        <v>306</v>
      </c>
      <c r="B21" s="569" t="s">
        <v>754</v>
      </c>
      <c r="C21" s="14">
        <v>0</v>
      </c>
      <c r="D21" s="561">
        <f>ROUND(0.19*C21,2)</f>
        <v>0</v>
      </c>
      <c r="E21" s="561">
        <f>C21+D21</f>
        <v>0</v>
      </c>
    </row>
    <row r="22" spans="1:8" x14ac:dyDescent="0.2">
      <c r="A22" s="570" t="s">
        <v>309</v>
      </c>
      <c r="B22" s="20" t="s">
        <v>22</v>
      </c>
      <c r="C22" s="13">
        <v>0</v>
      </c>
      <c r="D22" s="563">
        <f>ROUND(0.19*C22,2)</f>
        <v>0</v>
      </c>
      <c r="E22" s="563">
        <f>C22+D22</f>
        <v>0</v>
      </c>
    </row>
    <row r="23" spans="1:8" x14ac:dyDescent="0.2">
      <c r="A23" s="570" t="s">
        <v>311</v>
      </c>
      <c r="B23" s="21" t="s">
        <v>710</v>
      </c>
      <c r="C23" s="13">
        <v>0</v>
      </c>
      <c r="D23" s="563">
        <f>ROUND(0.19*C23,2)</f>
        <v>0</v>
      </c>
      <c r="E23" s="563">
        <f>C23+D23</f>
        <v>0</v>
      </c>
    </row>
    <row r="24" spans="1:8" ht="15.75" x14ac:dyDescent="0.2">
      <c r="A24" s="809" t="s">
        <v>711</v>
      </c>
      <c r="B24" s="810"/>
      <c r="C24" s="7">
        <f>SUM(C20:C23)</f>
        <v>0</v>
      </c>
      <c r="D24" s="7">
        <f>SUM(D20:D23)</f>
        <v>0</v>
      </c>
      <c r="E24" s="7">
        <f>SUM(E20:E23)</f>
        <v>0</v>
      </c>
      <c r="H24" s="26">
        <f>C24*1.19</f>
        <v>0</v>
      </c>
    </row>
    <row r="25" spans="1:8" ht="15.75" x14ac:dyDescent="0.2">
      <c r="A25" s="571"/>
      <c r="B25" s="572" t="s">
        <v>712</v>
      </c>
      <c r="C25" s="573">
        <f>C17+C19+C24</f>
        <v>5177.1849999999995</v>
      </c>
      <c r="D25" s="573">
        <f>D17+D19+D24</f>
        <v>983.67</v>
      </c>
      <c r="E25" s="573">
        <f>E17+E19+E24</f>
        <v>6160.8549999999996</v>
      </c>
    </row>
    <row r="26" spans="1:8" ht="15.75" x14ac:dyDescent="0.2">
      <c r="A26" s="8"/>
      <c r="B26" s="8"/>
      <c r="C26" s="9"/>
      <c r="D26" s="9"/>
      <c r="E26" s="9"/>
    </row>
    <row r="27" spans="1:8" ht="15.75" x14ac:dyDescent="0.2">
      <c r="A27" s="8"/>
      <c r="B27" s="8"/>
      <c r="C27" s="9"/>
      <c r="D27" s="9"/>
      <c r="E27" s="9"/>
    </row>
    <row r="28" spans="1:8" x14ac:dyDescent="0.2">
      <c r="E28" s="555" t="s">
        <v>713</v>
      </c>
    </row>
    <row r="29" spans="1:8" x14ac:dyDescent="0.2">
      <c r="D29" s="782" t="s">
        <v>195</v>
      </c>
      <c r="E29" s="782"/>
    </row>
    <row r="30" spans="1:8" x14ac:dyDescent="0.2">
      <c r="A30" s="2"/>
      <c r="B30" s="2"/>
      <c r="C30" s="2"/>
      <c r="D30" s="771"/>
      <c r="E30" s="771"/>
    </row>
    <row r="31" spans="1:8" x14ac:dyDescent="0.2">
      <c r="A31" s="2"/>
      <c r="C31" s="2"/>
      <c r="D31" s="2"/>
      <c r="E31" s="2"/>
    </row>
    <row r="32" spans="1:8" x14ac:dyDescent="0.2">
      <c r="A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ht="90" x14ac:dyDescent="0.2">
      <c r="A36" s="574" t="s">
        <v>714</v>
      </c>
      <c r="B36" s="575" t="s">
        <v>715</v>
      </c>
      <c r="C36" s="575"/>
      <c r="D36" s="575"/>
      <c r="E36" s="575"/>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sheetData>
  <mergeCells count="15">
    <mergeCell ref="A7:E7"/>
    <mergeCell ref="A8:E8"/>
    <mergeCell ref="A1:B1"/>
    <mergeCell ref="A2:B2"/>
    <mergeCell ref="A3:B3"/>
    <mergeCell ref="A4:B4"/>
    <mergeCell ref="A6:E6"/>
    <mergeCell ref="D29:E29"/>
    <mergeCell ref="D30:E30"/>
    <mergeCell ref="A11:A12"/>
    <mergeCell ref="B11:B12"/>
    <mergeCell ref="A14:E14"/>
    <mergeCell ref="A17:B17"/>
    <mergeCell ref="A19:B19"/>
    <mergeCell ref="A24:B24"/>
  </mergeCells>
  <pageMargins left="0.7" right="0.7" top="0.75" bottom="0.75" header="0.3" footer="0.3"/>
  <pageSetup paperSize="9" scale="75" orientation="portrait"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9" sqref="A1:E29"/>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806</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694</v>
      </c>
      <c r="B14" s="816"/>
      <c r="C14" s="816"/>
      <c r="D14" s="816"/>
      <c r="E14" s="817"/>
    </row>
    <row r="15" spans="1:8" x14ac:dyDescent="0.2">
      <c r="A15" s="558" t="s">
        <v>695</v>
      </c>
      <c r="B15" s="19" t="s">
        <v>696</v>
      </c>
      <c r="C15" s="12"/>
      <c r="D15" s="559"/>
      <c r="E15" s="559"/>
      <c r="H15" s="5"/>
    </row>
    <row r="16" spans="1:8" x14ac:dyDescent="0.2">
      <c r="A16" s="560" t="s">
        <v>774</v>
      </c>
      <c r="B16" s="19" t="s">
        <v>673</v>
      </c>
      <c r="C16" s="13">
        <f>'TJ+TS'!F36</f>
        <v>20799.025604499999</v>
      </c>
      <c r="D16" s="563">
        <f t="shared" ref="D16" si="0">ROUND(C16*0.19,2)</f>
        <v>3951.81</v>
      </c>
      <c r="E16" s="563">
        <f>C16+D16</f>
        <v>24750.8356045</v>
      </c>
      <c r="H16" s="5"/>
    </row>
    <row r="17" spans="1:8" ht="15.75" x14ac:dyDescent="0.2">
      <c r="A17" s="809" t="s">
        <v>776</v>
      </c>
      <c r="B17" s="810"/>
      <c r="C17" s="6">
        <f>SUM(C15:C16)</f>
        <v>20799.025604499999</v>
      </c>
      <c r="D17" s="7">
        <f>SUM(D15:D16)</f>
        <v>3951.81</v>
      </c>
      <c r="E17" s="6">
        <f>SUM(E15:E16)</f>
        <v>24750.8356045</v>
      </c>
      <c r="H17" s="5">
        <f>C17*1.19</f>
        <v>24750.840469354996</v>
      </c>
    </row>
    <row r="18" spans="1:8" x14ac:dyDescent="0.2">
      <c r="A18" s="566">
        <v>4.2</v>
      </c>
      <c r="B18" s="19" t="s">
        <v>707</v>
      </c>
      <c r="C18" s="12">
        <v>0</v>
      </c>
      <c r="D18" s="559">
        <f>ROUND(0.19*C18,2)</f>
        <v>0</v>
      </c>
      <c r="E18" s="559">
        <f>C18+D18</f>
        <v>0</v>
      </c>
    </row>
    <row r="19" spans="1:8" ht="15.75" x14ac:dyDescent="0.2">
      <c r="A19" s="809" t="s">
        <v>708</v>
      </c>
      <c r="B19" s="810"/>
      <c r="C19" s="7">
        <f>C18</f>
        <v>0</v>
      </c>
      <c r="D19" s="7">
        <f>D18</f>
        <v>0</v>
      </c>
      <c r="E19" s="7">
        <f>E18</f>
        <v>0</v>
      </c>
      <c r="H19" s="26">
        <f>C19*1.19</f>
        <v>0</v>
      </c>
    </row>
    <row r="20" spans="1:8" ht="30" x14ac:dyDescent="0.2">
      <c r="A20" s="566" t="s">
        <v>304</v>
      </c>
      <c r="B20" s="567" t="s">
        <v>709</v>
      </c>
      <c r="C20" s="12">
        <v>0</v>
      </c>
      <c r="D20" s="559">
        <f>ROUND(0.19*C20,2)</f>
        <v>0</v>
      </c>
      <c r="E20" s="559">
        <f>C20+D20</f>
        <v>0</v>
      </c>
    </row>
    <row r="21" spans="1:8" ht="30" x14ac:dyDescent="0.2">
      <c r="A21" s="568" t="s">
        <v>306</v>
      </c>
      <c r="B21" s="569" t="s">
        <v>754</v>
      </c>
      <c r="C21" s="14">
        <v>0</v>
      </c>
      <c r="D21" s="561">
        <f>ROUND(0.19*C21,2)</f>
        <v>0</v>
      </c>
      <c r="E21" s="561">
        <f>C21+D21</f>
        <v>0</v>
      </c>
    </row>
    <row r="22" spans="1:8" x14ac:dyDescent="0.2">
      <c r="A22" s="570" t="s">
        <v>309</v>
      </c>
      <c r="B22" s="20" t="s">
        <v>22</v>
      </c>
      <c r="C22" s="13">
        <f>'TJ+TS'!F39</f>
        <v>19403.188999999998</v>
      </c>
      <c r="D22" s="563">
        <f>ROUND(0.19*C22,2)</f>
        <v>3686.61</v>
      </c>
      <c r="E22" s="563">
        <f>C22+D22</f>
        <v>23089.798999999999</v>
      </c>
    </row>
    <row r="23" spans="1:8" x14ac:dyDescent="0.2">
      <c r="A23" s="570" t="s">
        <v>311</v>
      </c>
      <c r="B23" s="21" t="s">
        <v>710</v>
      </c>
      <c r="C23" s="13">
        <v>0</v>
      </c>
      <c r="D23" s="563">
        <f>ROUND(0.19*C23,2)</f>
        <v>0</v>
      </c>
      <c r="E23" s="563">
        <f>C23+D23</f>
        <v>0</v>
      </c>
    </row>
    <row r="24" spans="1:8" ht="15.75" x14ac:dyDescent="0.2">
      <c r="A24" s="809" t="s">
        <v>711</v>
      </c>
      <c r="B24" s="810"/>
      <c r="C24" s="7">
        <f>SUM(C20:C23)</f>
        <v>19403.188999999998</v>
      </c>
      <c r="D24" s="7">
        <f>SUM(D20:D23)</f>
        <v>3686.61</v>
      </c>
      <c r="E24" s="7">
        <f>SUM(E20:E23)</f>
        <v>23089.798999999999</v>
      </c>
      <c r="H24" s="26">
        <f>C24*1.19</f>
        <v>23089.794909999997</v>
      </c>
    </row>
    <row r="25" spans="1:8" ht="15.75" x14ac:dyDescent="0.2">
      <c r="A25" s="571"/>
      <c r="B25" s="572" t="s">
        <v>712</v>
      </c>
      <c r="C25" s="573">
        <f>C17+C19+C24</f>
        <v>40202.214604499997</v>
      </c>
      <c r="D25" s="573">
        <f>D17+D19+D24</f>
        <v>7638.42</v>
      </c>
      <c r="E25" s="573">
        <f>E17+E19+E24</f>
        <v>47840.634604499995</v>
      </c>
    </row>
    <row r="26" spans="1:8" ht="15.75" x14ac:dyDescent="0.2">
      <c r="A26" s="8"/>
      <c r="B26" s="8"/>
      <c r="C26" s="9"/>
      <c r="D26" s="9"/>
      <c r="E26" s="9"/>
    </row>
    <row r="27" spans="1:8" ht="15.75" x14ac:dyDescent="0.2">
      <c r="A27" s="8"/>
      <c r="B27" s="8"/>
      <c r="C27" s="9"/>
      <c r="D27" s="9"/>
      <c r="E27" s="9"/>
    </row>
    <row r="28" spans="1:8" x14ac:dyDescent="0.2">
      <c r="E28" s="555" t="s">
        <v>713</v>
      </c>
    </row>
    <row r="29" spans="1:8" x14ac:dyDescent="0.2">
      <c r="D29" s="782" t="s">
        <v>195</v>
      </c>
      <c r="E29" s="782"/>
    </row>
    <row r="30" spans="1:8" x14ac:dyDescent="0.2">
      <c r="A30" s="2"/>
      <c r="B30" s="2"/>
      <c r="C30" s="2"/>
      <c r="D30" s="771"/>
      <c r="E30" s="771"/>
    </row>
    <row r="31" spans="1:8" x14ac:dyDescent="0.2">
      <c r="A31" s="2"/>
      <c r="C31" s="2"/>
      <c r="D31" s="2"/>
      <c r="E31" s="2"/>
    </row>
    <row r="32" spans="1:8" x14ac:dyDescent="0.2">
      <c r="A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ht="90" x14ac:dyDescent="0.2">
      <c r="A36" s="574" t="s">
        <v>714</v>
      </c>
      <c r="B36" s="575" t="s">
        <v>715</v>
      </c>
      <c r="C36" s="575"/>
      <c r="D36" s="575"/>
      <c r="E36" s="575"/>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sheetData>
  <mergeCells count="15">
    <mergeCell ref="A7:E7"/>
    <mergeCell ref="A8:E8"/>
    <mergeCell ref="A1:B1"/>
    <mergeCell ref="A2:B2"/>
    <mergeCell ref="A3:B3"/>
    <mergeCell ref="A4:B4"/>
    <mergeCell ref="A6:E6"/>
    <mergeCell ref="D29:E29"/>
    <mergeCell ref="D30:E30"/>
    <mergeCell ref="A11:A12"/>
    <mergeCell ref="B11:B12"/>
    <mergeCell ref="A14:E14"/>
    <mergeCell ref="A17:B17"/>
    <mergeCell ref="A19:B19"/>
    <mergeCell ref="A24:B24"/>
  </mergeCells>
  <pageMargins left="0.7" right="0.7" top="0.75" bottom="0.75" header="0.3" footer="0.3"/>
  <pageSetup paperSize="9" scale="75"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D29" sqref="A1:E29"/>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805</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694</v>
      </c>
      <c r="B14" s="816"/>
      <c r="C14" s="816"/>
      <c r="D14" s="816"/>
      <c r="E14" s="817"/>
    </row>
    <row r="15" spans="1:8" x14ac:dyDescent="0.2">
      <c r="A15" s="558" t="s">
        <v>695</v>
      </c>
      <c r="B15" s="19" t="s">
        <v>696</v>
      </c>
      <c r="C15" s="12"/>
      <c r="D15" s="559"/>
      <c r="E15" s="559"/>
      <c r="H15" s="5"/>
    </row>
    <row r="16" spans="1:8" x14ac:dyDescent="0.2">
      <c r="A16" s="560" t="s">
        <v>773</v>
      </c>
      <c r="B16" s="19" t="s">
        <v>33</v>
      </c>
      <c r="C16" s="13">
        <f>'TJ+TS'!F23</f>
        <v>46505.347304000003</v>
      </c>
      <c r="D16" s="563">
        <f t="shared" ref="D16" si="0">ROUND(C16*0.19,2)</f>
        <v>8836.02</v>
      </c>
      <c r="E16" s="563">
        <f>C16+D16</f>
        <v>55341.367303999999</v>
      </c>
      <c r="H16" s="5"/>
    </row>
    <row r="17" spans="1:8" ht="15.75" x14ac:dyDescent="0.2">
      <c r="A17" s="809" t="s">
        <v>776</v>
      </c>
      <c r="B17" s="810"/>
      <c r="C17" s="6">
        <f>SUM(C15:C16)</f>
        <v>46505.347304000003</v>
      </c>
      <c r="D17" s="7">
        <f>SUM(D15:D16)</f>
        <v>8836.02</v>
      </c>
      <c r="E17" s="6">
        <f>SUM(E15:E16)</f>
        <v>55341.367303999999</v>
      </c>
      <c r="H17" s="5">
        <f>C17*1.19</f>
        <v>55341.363291759997</v>
      </c>
    </row>
    <row r="18" spans="1:8" x14ac:dyDescent="0.2">
      <c r="A18" s="566">
        <v>4.2</v>
      </c>
      <c r="B18" s="19" t="s">
        <v>707</v>
      </c>
      <c r="C18" s="12">
        <v>0</v>
      </c>
      <c r="D18" s="559">
        <f>ROUND(0.19*C18,2)</f>
        <v>0</v>
      </c>
      <c r="E18" s="559">
        <f>C18+D18</f>
        <v>0</v>
      </c>
    </row>
    <row r="19" spans="1:8" ht="15.75" x14ac:dyDescent="0.2">
      <c r="A19" s="809" t="s">
        <v>708</v>
      </c>
      <c r="B19" s="810"/>
      <c r="C19" s="7">
        <f>C18</f>
        <v>0</v>
      </c>
      <c r="D19" s="7">
        <f>D18</f>
        <v>0</v>
      </c>
      <c r="E19" s="7">
        <f>E18</f>
        <v>0</v>
      </c>
      <c r="H19" s="26">
        <f>C19*1.19</f>
        <v>0</v>
      </c>
    </row>
    <row r="20" spans="1:8" ht="30" x14ac:dyDescent="0.2">
      <c r="A20" s="566" t="s">
        <v>304</v>
      </c>
      <c r="B20" s="567" t="s">
        <v>709</v>
      </c>
      <c r="C20" s="12">
        <v>0</v>
      </c>
      <c r="D20" s="559">
        <f>ROUND(0.19*C20,2)</f>
        <v>0</v>
      </c>
      <c r="E20" s="559">
        <f>C20+D20</f>
        <v>0</v>
      </c>
    </row>
    <row r="21" spans="1:8" ht="30" x14ac:dyDescent="0.2">
      <c r="A21" s="568" t="s">
        <v>306</v>
      </c>
      <c r="B21" s="569" t="s">
        <v>754</v>
      </c>
      <c r="C21" s="14">
        <v>0</v>
      </c>
      <c r="D21" s="561">
        <f>ROUND(0.19*C21,2)</f>
        <v>0</v>
      </c>
      <c r="E21" s="561">
        <f>C21+D21</f>
        <v>0</v>
      </c>
    </row>
    <row r="22" spans="1:8" x14ac:dyDescent="0.2">
      <c r="A22" s="570" t="s">
        <v>309</v>
      </c>
      <c r="B22" s="20" t="s">
        <v>22</v>
      </c>
      <c r="C22" s="13">
        <v>0</v>
      </c>
      <c r="D22" s="563">
        <f>ROUND(0.19*C22,2)</f>
        <v>0</v>
      </c>
      <c r="E22" s="563">
        <f>C22+D22</f>
        <v>0</v>
      </c>
    </row>
    <row r="23" spans="1:8" x14ac:dyDescent="0.2">
      <c r="A23" s="570" t="s">
        <v>311</v>
      </c>
      <c r="B23" s="21" t="s">
        <v>710</v>
      </c>
      <c r="C23" s="13">
        <v>0</v>
      </c>
      <c r="D23" s="563">
        <f>ROUND(0.19*C23,2)</f>
        <v>0</v>
      </c>
      <c r="E23" s="563">
        <f>C23+D23</f>
        <v>0</v>
      </c>
    </row>
    <row r="24" spans="1:8" ht="15.75" x14ac:dyDescent="0.2">
      <c r="A24" s="809" t="s">
        <v>711</v>
      </c>
      <c r="B24" s="810"/>
      <c r="C24" s="7">
        <f>SUM(C20:C23)</f>
        <v>0</v>
      </c>
      <c r="D24" s="7">
        <f>SUM(D20:D23)</f>
        <v>0</v>
      </c>
      <c r="E24" s="7">
        <f>SUM(E20:E23)</f>
        <v>0</v>
      </c>
      <c r="H24" s="26">
        <f>C24*1.19</f>
        <v>0</v>
      </c>
    </row>
    <row r="25" spans="1:8" ht="15.75" x14ac:dyDescent="0.2">
      <c r="A25" s="571"/>
      <c r="B25" s="572" t="s">
        <v>712</v>
      </c>
      <c r="C25" s="573">
        <f>C17+C19+C24</f>
        <v>46505.347304000003</v>
      </c>
      <c r="D25" s="573">
        <f>D17+D19+D24</f>
        <v>8836.02</v>
      </c>
      <c r="E25" s="573">
        <f>E17+E19+E24</f>
        <v>55341.367303999999</v>
      </c>
    </row>
    <row r="26" spans="1:8" ht="15.75" x14ac:dyDescent="0.2">
      <c r="A26" s="8"/>
      <c r="B26" s="8"/>
      <c r="C26" s="9"/>
      <c r="D26" s="9"/>
      <c r="E26" s="9"/>
    </row>
    <row r="27" spans="1:8" ht="15.75" x14ac:dyDescent="0.2">
      <c r="A27" s="8"/>
      <c r="B27" s="8"/>
      <c r="C27" s="9"/>
      <c r="D27" s="9"/>
      <c r="E27" s="9"/>
    </row>
    <row r="28" spans="1:8" x14ac:dyDescent="0.2">
      <c r="E28" s="555" t="s">
        <v>713</v>
      </c>
    </row>
    <row r="29" spans="1:8" x14ac:dyDescent="0.2">
      <c r="D29" s="782" t="s">
        <v>195</v>
      </c>
      <c r="E29" s="782"/>
    </row>
    <row r="30" spans="1:8" x14ac:dyDescent="0.2">
      <c r="A30" s="2"/>
      <c r="B30" s="2"/>
      <c r="C30" s="2"/>
      <c r="D30" s="771"/>
      <c r="E30" s="771"/>
    </row>
    <row r="31" spans="1:8" x14ac:dyDescent="0.2">
      <c r="A31" s="2"/>
      <c r="C31" s="2"/>
      <c r="D31" s="2"/>
      <c r="E31" s="2"/>
    </row>
    <row r="32" spans="1:8" x14ac:dyDescent="0.2">
      <c r="A32" s="2"/>
      <c r="C32" s="2"/>
      <c r="D32" s="2"/>
      <c r="E32" s="2"/>
    </row>
    <row r="33" spans="1:5" x14ac:dyDescent="0.2">
      <c r="A33" s="2"/>
      <c r="B33" s="2"/>
      <c r="C33" s="2"/>
      <c r="D33" s="2"/>
      <c r="E33" s="2"/>
    </row>
    <row r="34" spans="1:5" x14ac:dyDescent="0.2">
      <c r="A34" s="2"/>
      <c r="B34" s="2"/>
      <c r="C34" s="2"/>
      <c r="D34" s="2"/>
      <c r="E34" s="2"/>
    </row>
    <row r="35" spans="1:5" x14ac:dyDescent="0.2">
      <c r="A35" s="2"/>
      <c r="B35" s="2"/>
      <c r="C35" s="2"/>
      <c r="D35" s="2"/>
      <c r="E35" s="2"/>
    </row>
    <row r="36" spans="1:5" ht="90" x14ac:dyDescent="0.2">
      <c r="A36" s="574" t="s">
        <v>714</v>
      </c>
      <c r="B36" s="575" t="s">
        <v>715</v>
      </c>
      <c r="C36" s="575"/>
      <c r="D36" s="575"/>
      <c r="E36" s="575"/>
    </row>
    <row r="37" spans="1:5" x14ac:dyDescent="0.2">
      <c r="A37" s="2"/>
      <c r="B37" s="2"/>
      <c r="C37" s="2"/>
      <c r="D37" s="2"/>
      <c r="E37" s="2"/>
    </row>
    <row r="38" spans="1:5" x14ac:dyDescent="0.2">
      <c r="A38" s="2"/>
      <c r="B38" s="2"/>
      <c r="C38" s="2"/>
      <c r="D38" s="2"/>
      <c r="E38" s="2"/>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x14ac:dyDescent="0.2">
      <c r="A44" s="2"/>
      <c r="B44" s="2"/>
      <c r="C44" s="2"/>
      <c r="D44" s="2"/>
      <c r="E44" s="2"/>
    </row>
    <row r="45" spans="1:5" x14ac:dyDescent="0.2">
      <c r="A45" s="2"/>
      <c r="B45" s="2"/>
      <c r="C45" s="2"/>
      <c r="D45" s="2"/>
      <c r="E45" s="2"/>
    </row>
  </sheetData>
  <mergeCells count="15">
    <mergeCell ref="A7:E7"/>
    <mergeCell ref="A8:E8"/>
    <mergeCell ref="A1:B1"/>
    <mergeCell ref="A2:B2"/>
    <mergeCell ref="A3:B3"/>
    <mergeCell ref="A4:B4"/>
    <mergeCell ref="A6:E6"/>
    <mergeCell ref="A24:B24"/>
    <mergeCell ref="D29:E29"/>
    <mergeCell ref="D30:E30"/>
    <mergeCell ref="A11:A12"/>
    <mergeCell ref="B11:B12"/>
    <mergeCell ref="A14:E14"/>
    <mergeCell ref="A17:B17"/>
    <mergeCell ref="A19:B19"/>
  </mergeCells>
  <pageMargins left="0.7" right="0.7" top="0.75" bottom="0.75" header="0.3" footer="0.3"/>
  <pageSetup paperSize="9" scale="75"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0" workbookViewId="0">
      <selection activeCell="D37" sqref="A1:E37"/>
    </sheetView>
  </sheetViews>
  <sheetFormatPr defaultRowHeight="15" x14ac:dyDescent="0.2"/>
  <cols>
    <col min="1" max="1" width="7.85546875" style="26" bestFit="1" customWidth="1"/>
    <col min="2" max="2" width="58.42578125" style="26" customWidth="1"/>
    <col min="3" max="5" width="15.7109375" style="26" customWidth="1"/>
    <col min="6" max="7" width="9.140625" style="26"/>
    <col min="8" max="8" width="18.7109375" style="26" customWidth="1"/>
    <col min="9" max="16384" width="9.140625" style="26"/>
  </cols>
  <sheetData>
    <row r="1" spans="1:8" ht="15.75" x14ac:dyDescent="0.2">
      <c r="A1" s="788" t="s">
        <v>9</v>
      </c>
      <c r="B1" s="788"/>
      <c r="E1" s="548" t="s">
        <v>688</v>
      </c>
    </row>
    <row r="2" spans="1:8" x14ac:dyDescent="0.2">
      <c r="A2" s="788" t="s">
        <v>689</v>
      </c>
      <c r="B2" s="788"/>
      <c r="E2" s="555" t="s">
        <v>690</v>
      </c>
    </row>
    <row r="3" spans="1:8" x14ac:dyDescent="0.2">
      <c r="A3" s="789"/>
      <c r="B3" s="789"/>
      <c r="E3" s="555"/>
    </row>
    <row r="4" spans="1:8" x14ac:dyDescent="0.2">
      <c r="A4" s="788"/>
      <c r="B4" s="788"/>
    </row>
    <row r="5" spans="1:8" x14ac:dyDescent="0.2">
      <c r="A5" s="549"/>
      <c r="B5" s="549"/>
    </row>
    <row r="6" spans="1:8" ht="18" x14ac:dyDescent="0.2">
      <c r="A6" s="790" t="s">
        <v>804</v>
      </c>
      <c r="B6" s="790"/>
      <c r="C6" s="790"/>
      <c r="D6" s="790"/>
      <c r="E6" s="790"/>
    </row>
    <row r="7" spans="1:8" ht="15.75" customHeight="1" x14ac:dyDescent="0.2">
      <c r="A7" s="818" t="s">
        <v>802</v>
      </c>
      <c r="B7" s="818"/>
      <c r="C7" s="818"/>
      <c r="D7" s="818"/>
      <c r="E7" s="818"/>
      <c r="H7" s="26" t="s">
        <v>25</v>
      </c>
    </row>
    <row r="8" spans="1:8" ht="15.75" x14ac:dyDescent="0.2">
      <c r="A8" s="818" t="s">
        <v>803</v>
      </c>
      <c r="B8" s="818"/>
      <c r="C8" s="818"/>
      <c r="D8" s="818"/>
      <c r="E8" s="818"/>
    </row>
    <row r="9" spans="1:8" x14ac:dyDescent="0.2">
      <c r="A9" s="4"/>
      <c r="B9" s="4"/>
      <c r="C9" s="4"/>
      <c r="D9" s="4"/>
      <c r="E9" s="4"/>
    </row>
    <row r="10" spans="1:8" x14ac:dyDescent="0.2">
      <c r="B10" s="547"/>
      <c r="C10" s="556"/>
      <c r="D10" s="557"/>
      <c r="E10" s="554"/>
    </row>
    <row r="11" spans="1:8" ht="30.75" customHeight="1" x14ac:dyDescent="0.2">
      <c r="A11" s="814" t="s">
        <v>0</v>
      </c>
      <c r="B11" s="813" t="s">
        <v>12</v>
      </c>
      <c r="C11" s="551" t="s">
        <v>691</v>
      </c>
      <c r="D11" s="17" t="s">
        <v>1</v>
      </c>
      <c r="E11" s="550" t="s">
        <v>692</v>
      </c>
      <c r="F11" s="3"/>
    </row>
    <row r="12" spans="1:8" ht="21" customHeight="1" x14ac:dyDescent="0.2">
      <c r="A12" s="814"/>
      <c r="B12" s="813"/>
      <c r="C12" s="17" t="s">
        <v>693</v>
      </c>
      <c r="D12" s="17" t="s">
        <v>693</v>
      </c>
      <c r="E12" s="17" t="s">
        <v>693</v>
      </c>
      <c r="F12" s="2"/>
    </row>
    <row r="13" spans="1:8" x14ac:dyDescent="0.2">
      <c r="A13" s="18">
        <v>1</v>
      </c>
      <c r="B13" s="18">
        <v>2</v>
      </c>
      <c r="C13" s="18">
        <v>3</v>
      </c>
      <c r="D13" s="18">
        <v>4</v>
      </c>
      <c r="E13" s="18">
        <v>5</v>
      </c>
    </row>
    <row r="14" spans="1:8" ht="15.75" x14ac:dyDescent="0.2">
      <c r="A14" s="815" t="s">
        <v>694</v>
      </c>
      <c r="B14" s="816"/>
      <c r="C14" s="816"/>
      <c r="D14" s="816"/>
      <c r="E14" s="817"/>
    </row>
    <row r="15" spans="1:8" x14ac:dyDescent="0.2">
      <c r="A15" s="558" t="s">
        <v>695</v>
      </c>
      <c r="B15" s="19" t="s">
        <v>696</v>
      </c>
      <c r="C15" s="12"/>
      <c r="D15" s="559"/>
      <c r="E15" s="559"/>
      <c r="H15" s="5"/>
    </row>
    <row r="16" spans="1:8" x14ac:dyDescent="0.2">
      <c r="A16" s="560" t="s">
        <v>697</v>
      </c>
      <c r="B16" s="19" t="s">
        <v>31</v>
      </c>
      <c r="C16" s="14"/>
      <c r="D16" s="561"/>
      <c r="E16" s="561"/>
      <c r="H16" s="5"/>
    </row>
    <row r="17" spans="1:8" x14ac:dyDescent="0.2">
      <c r="A17" s="562"/>
      <c r="B17" s="21" t="s">
        <v>698</v>
      </c>
      <c r="C17" s="13">
        <f>'LE-structura corp nou'!F53</f>
        <v>656758.46643999999</v>
      </c>
      <c r="D17" s="563">
        <f t="shared" ref="D17:D19" si="0">ROUND(C17*0.19,2)</f>
        <v>124784.11</v>
      </c>
      <c r="E17" s="563">
        <f>C17+D17</f>
        <v>781542.57643999998</v>
      </c>
      <c r="H17" s="5"/>
    </row>
    <row r="18" spans="1:8" x14ac:dyDescent="0.2">
      <c r="A18" s="560"/>
      <c r="B18" s="564" t="s">
        <v>699</v>
      </c>
      <c r="C18" s="14">
        <f>'LE-arh corp nou'!F96</f>
        <v>591127.38177999994</v>
      </c>
      <c r="D18" s="563">
        <f t="shared" si="0"/>
        <v>112314.2</v>
      </c>
      <c r="E18" s="561">
        <f>C18+D18</f>
        <v>703441.58177999989</v>
      </c>
    </row>
    <row r="19" spans="1:8" x14ac:dyDescent="0.2">
      <c r="A19" s="562"/>
      <c r="B19" s="565" t="s">
        <v>700</v>
      </c>
      <c r="C19" s="14">
        <f>'LE-inst interioare corp nou'!F26</f>
        <v>270438.13679987349</v>
      </c>
      <c r="D19" s="563">
        <f t="shared" si="0"/>
        <v>51383.25</v>
      </c>
      <c r="E19" s="563">
        <f>C19+D19</f>
        <v>321821.38679987349</v>
      </c>
    </row>
    <row r="20" spans="1:8" ht="15.75" x14ac:dyDescent="0.2">
      <c r="A20" s="809" t="s">
        <v>701</v>
      </c>
      <c r="B20" s="810"/>
      <c r="C20" s="6">
        <f>SUM(C17:C19)</f>
        <v>1518323.9850198736</v>
      </c>
      <c r="D20" s="7">
        <f>SUM(D17:D19)</f>
        <v>288481.56</v>
      </c>
      <c r="E20" s="6">
        <f>SUM(E17:E19)</f>
        <v>1806805.5450198734</v>
      </c>
      <c r="H20" s="5">
        <f>C20*1.19</f>
        <v>1806805.5421736494</v>
      </c>
    </row>
    <row r="21" spans="1:8" x14ac:dyDescent="0.2">
      <c r="A21" s="560" t="s">
        <v>702</v>
      </c>
      <c r="B21" s="19" t="s">
        <v>32</v>
      </c>
      <c r="C21" s="14"/>
      <c r="D21" s="561"/>
      <c r="E21" s="561"/>
      <c r="H21" s="5"/>
    </row>
    <row r="22" spans="1:8" x14ac:dyDescent="0.2">
      <c r="A22" s="562"/>
      <c r="B22" s="21" t="s">
        <v>703</v>
      </c>
      <c r="C22" s="13">
        <f>'LE-reabilitare structura'!F62</f>
        <v>234418.43490000002</v>
      </c>
      <c r="D22" s="563">
        <f t="shared" ref="D22:D24" si="1">ROUND(C22*0.19,2)</f>
        <v>44539.5</v>
      </c>
      <c r="E22" s="563">
        <f>C22+D22</f>
        <v>278957.93489999999</v>
      </c>
      <c r="H22" s="5"/>
    </row>
    <row r="23" spans="1:8" x14ac:dyDescent="0.2">
      <c r="A23" s="560"/>
      <c r="B23" s="564" t="s">
        <v>704</v>
      </c>
      <c r="C23" s="14">
        <f>'LE-reabilitare arh'!F112</f>
        <v>580420.9632</v>
      </c>
      <c r="D23" s="563">
        <f t="shared" si="1"/>
        <v>110279.98</v>
      </c>
      <c r="E23" s="561">
        <f>C23+D23</f>
        <v>690700.94319999998</v>
      </c>
      <c r="H23" s="5"/>
    </row>
    <row r="24" spans="1:8" x14ac:dyDescent="0.2">
      <c r="A24" s="562"/>
      <c r="B24" s="565" t="s">
        <v>705</v>
      </c>
      <c r="C24" s="14">
        <f>'LE-inst int reabilitare'!F33</f>
        <v>291574.55729991361</v>
      </c>
      <c r="D24" s="563">
        <f t="shared" si="1"/>
        <v>55399.17</v>
      </c>
      <c r="E24" s="563">
        <f>C24+D24</f>
        <v>346973.72729991359</v>
      </c>
      <c r="H24" s="5"/>
    </row>
    <row r="25" spans="1:8" ht="15.75" x14ac:dyDescent="0.2">
      <c r="A25" s="809" t="s">
        <v>706</v>
      </c>
      <c r="B25" s="810"/>
      <c r="C25" s="6">
        <f>SUM(C22:C24)</f>
        <v>1106413.9553999137</v>
      </c>
      <c r="D25" s="7">
        <f>SUM(D22:D24)</f>
        <v>210218.64999999997</v>
      </c>
      <c r="E25" s="6">
        <f>SUM(E22:E24)</f>
        <v>1316632.6053999136</v>
      </c>
      <c r="H25" s="5"/>
    </row>
    <row r="26" spans="1:8" x14ac:dyDescent="0.2">
      <c r="A26" s="566">
        <v>4.2</v>
      </c>
      <c r="B26" s="19" t="s">
        <v>707</v>
      </c>
      <c r="C26" s="12">
        <f>'montaj uti'!F12+'montaj uti'!F22</f>
        <v>13730.795</v>
      </c>
      <c r="D26" s="559">
        <f>ROUND(0.19*C26,2)</f>
        <v>2608.85</v>
      </c>
      <c r="E26" s="559">
        <f>C26+D26</f>
        <v>16339.645</v>
      </c>
    </row>
    <row r="27" spans="1:8" ht="15.75" x14ac:dyDescent="0.2">
      <c r="A27" s="809" t="s">
        <v>708</v>
      </c>
      <c r="B27" s="810"/>
      <c r="C27" s="7">
        <f>C26</f>
        <v>13730.795</v>
      </c>
      <c r="D27" s="7">
        <f>D26</f>
        <v>2608.85</v>
      </c>
      <c r="E27" s="7">
        <f>E26</f>
        <v>16339.645</v>
      </c>
      <c r="H27" s="26">
        <f>C27*1.19</f>
        <v>16339.646049999999</v>
      </c>
    </row>
    <row r="28" spans="1:8" ht="30" x14ac:dyDescent="0.2">
      <c r="A28" s="566" t="s">
        <v>304</v>
      </c>
      <c r="B28" s="567" t="s">
        <v>709</v>
      </c>
      <c r="C28" s="643">
        <f>'Utilaje, echipamente cu montaj'!F26</f>
        <v>249999.51080000002</v>
      </c>
      <c r="D28" s="559">
        <f>ROUND(0.19*C28,2)</f>
        <v>47499.91</v>
      </c>
      <c r="E28" s="559">
        <f>C28+D28</f>
        <v>297499.42080000002</v>
      </c>
    </row>
    <row r="29" spans="1:8" ht="30" x14ac:dyDescent="0.2">
      <c r="A29" s="568" t="s">
        <v>306</v>
      </c>
      <c r="B29" s="569" t="s">
        <v>754</v>
      </c>
      <c r="C29" s="14">
        <v>0</v>
      </c>
      <c r="D29" s="561">
        <f>ROUND(0.19*C29,2)</f>
        <v>0</v>
      </c>
      <c r="E29" s="561">
        <f>C29+D29</f>
        <v>0</v>
      </c>
    </row>
    <row r="30" spans="1:8" x14ac:dyDescent="0.2">
      <c r="A30" s="570" t="s">
        <v>309</v>
      </c>
      <c r="B30" s="20" t="s">
        <v>22</v>
      </c>
      <c r="C30" s="13">
        <f>Dotari!F85</f>
        <v>370717.39899999998</v>
      </c>
      <c r="D30" s="563">
        <f>ROUND(0.19*C30,2)</f>
        <v>70436.31</v>
      </c>
      <c r="E30" s="563">
        <f>C30+D30</f>
        <v>441153.70899999997</v>
      </c>
    </row>
    <row r="31" spans="1:8" x14ac:dyDescent="0.2">
      <c r="A31" s="570" t="s">
        <v>311</v>
      </c>
      <c r="B31" s="21" t="s">
        <v>710</v>
      </c>
      <c r="C31" s="13">
        <v>0</v>
      </c>
      <c r="D31" s="563">
        <f>ROUND(0.19*C31,2)</f>
        <v>0</v>
      </c>
      <c r="E31" s="563">
        <f>C31+D31</f>
        <v>0</v>
      </c>
    </row>
    <row r="32" spans="1:8" ht="15.75" x14ac:dyDescent="0.2">
      <c r="A32" s="809" t="s">
        <v>711</v>
      </c>
      <c r="B32" s="810"/>
      <c r="C32" s="7">
        <f>SUM(C28:C31)</f>
        <v>620716.90980000002</v>
      </c>
      <c r="D32" s="7">
        <f>SUM(D28:D31)</f>
        <v>117936.22</v>
      </c>
      <c r="E32" s="7">
        <f>SUM(E28:E31)</f>
        <v>738653.1298</v>
      </c>
      <c r="H32" s="26">
        <f>C32*1.19</f>
        <v>738653.12266200001</v>
      </c>
    </row>
    <row r="33" spans="1:5" ht="15.75" x14ac:dyDescent="0.2">
      <c r="A33" s="571"/>
      <c r="B33" s="572" t="s">
        <v>712</v>
      </c>
      <c r="C33" s="573">
        <f>C20+C27+C32+C25</f>
        <v>3259185.645219787</v>
      </c>
      <c r="D33" s="573">
        <f>D20+D27+D32+D25</f>
        <v>619245.28</v>
      </c>
      <c r="E33" s="573">
        <f>E20+E27+E32+E25</f>
        <v>3878430.9252197868</v>
      </c>
    </row>
    <row r="34" spans="1:5" ht="15.75" x14ac:dyDescent="0.2">
      <c r="A34" s="8"/>
      <c r="B34" s="8"/>
      <c r="C34" s="9"/>
      <c r="D34" s="9"/>
      <c r="E34" s="9"/>
    </row>
    <row r="35" spans="1:5" ht="15.75" x14ac:dyDescent="0.2">
      <c r="A35" s="8"/>
      <c r="B35" s="8"/>
      <c r="C35" s="9"/>
      <c r="D35" s="9"/>
      <c r="E35" s="9"/>
    </row>
    <row r="36" spans="1:5" x14ac:dyDescent="0.2">
      <c r="E36" s="555" t="s">
        <v>713</v>
      </c>
    </row>
    <row r="37" spans="1:5" x14ac:dyDescent="0.2">
      <c r="D37" s="782" t="s">
        <v>195</v>
      </c>
      <c r="E37" s="782"/>
    </row>
    <row r="38" spans="1:5" x14ac:dyDescent="0.2">
      <c r="A38" s="2"/>
      <c r="B38" s="2"/>
      <c r="C38" s="2"/>
      <c r="D38" s="771"/>
      <c r="E38" s="771"/>
    </row>
    <row r="39" spans="1:5" x14ac:dyDescent="0.2">
      <c r="A39" s="2"/>
      <c r="C39" s="2"/>
      <c r="D39" s="2"/>
      <c r="E39" s="2"/>
    </row>
    <row r="40" spans="1:5" x14ac:dyDescent="0.2">
      <c r="A40" s="2"/>
      <c r="C40" s="2"/>
      <c r="D40" s="2"/>
      <c r="E40" s="2"/>
    </row>
    <row r="41" spans="1:5" x14ac:dyDescent="0.2">
      <c r="A41" s="2"/>
      <c r="B41" s="2"/>
      <c r="C41" s="2"/>
      <c r="D41" s="2"/>
      <c r="E41" s="2"/>
    </row>
    <row r="42" spans="1:5" x14ac:dyDescent="0.2">
      <c r="A42" s="2"/>
      <c r="B42" s="2"/>
      <c r="C42" s="2"/>
      <c r="D42" s="2"/>
      <c r="E42" s="2"/>
    </row>
    <row r="43" spans="1:5" x14ac:dyDescent="0.2">
      <c r="A43" s="2"/>
      <c r="B43" s="2"/>
      <c r="C43" s="2"/>
      <c r="D43" s="2"/>
      <c r="E43" s="2"/>
    </row>
    <row r="44" spans="1:5" ht="90" x14ac:dyDescent="0.2">
      <c r="A44" s="574" t="s">
        <v>714</v>
      </c>
      <c r="B44" s="575" t="s">
        <v>715</v>
      </c>
      <c r="C44" s="575"/>
      <c r="D44" s="575"/>
      <c r="E44" s="575"/>
    </row>
    <row r="45" spans="1:5" x14ac:dyDescent="0.2">
      <c r="A45" s="2"/>
      <c r="B45" s="2"/>
      <c r="C45" s="2"/>
      <c r="D45" s="2"/>
      <c r="E45" s="2"/>
    </row>
    <row r="46" spans="1:5" x14ac:dyDescent="0.2">
      <c r="A46" s="2"/>
      <c r="B46" s="2"/>
      <c r="C46" s="2"/>
      <c r="D46" s="2"/>
      <c r="E46" s="2"/>
    </row>
    <row r="47" spans="1:5" x14ac:dyDescent="0.2">
      <c r="A47" s="2"/>
      <c r="B47" s="2"/>
      <c r="C47" s="2"/>
      <c r="D47" s="2"/>
      <c r="E47" s="2"/>
    </row>
    <row r="48" spans="1:5" x14ac:dyDescent="0.2">
      <c r="A48" s="2"/>
      <c r="B48" s="2"/>
      <c r="C48" s="2"/>
      <c r="D48" s="2"/>
      <c r="E48" s="2"/>
    </row>
    <row r="49" spans="1:5" x14ac:dyDescent="0.2">
      <c r="A49" s="2"/>
      <c r="B49" s="2"/>
      <c r="C49" s="2"/>
      <c r="D49" s="2"/>
      <c r="E49" s="2"/>
    </row>
    <row r="50" spans="1:5" x14ac:dyDescent="0.2">
      <c r="A50" s="2"/>
      <c r="B50" s="2"/>
      <c r="C50" s="2"/>
      <c r="D50" s="2"/>
      <c r="E50" s="2"/>
    </row>
    <row r="51" spans="1:5" x14ac:dyDescent="0.2">
      <c r="A51" s="2"/>
      <c r="B51" s="2"/>
      <c r="C51" s="2"/>
      <c r="D51" s="2"/>
      <c r="E51" s="2"/>
    </row>
    <row r="52" spans="1:5" x14ac:dyDescent="0.2">
      <c r="A52" s="2"/>
      <c r="B52" s="2"/>
      <c r="C52" s="2"/>
      <c r="D52" s="2"/>
      <c r="E52" s="2"/>
    </row>
    <row r="53" spans="1:5" x14ac:dyDescent="0.2">
      <c r="A53" s="2"/>
      <c r="B53" s="2"/>
      <c r="C53" s="2"/>
      <c r="D53" s="2"/>
      <c r="E53" s="2"/>
    </row>
  </sheetData>
  <mergeCells count="16">
    <mergeCell ref="A7:E7"/>
    <mergeCell ref="A8:E8"/>
    <mergeCell ref="A1:B1"/>
    <mergeCell ref="A2:B2"/>
    <mergeCell ref="A3:B3"/>
    <mergeCell ref="A4:B4"/>
    <mergeCell ref="A6:E6"/>
    <mergeCell ref="A25:B25"/>
    <mergeCell ref="A32:B32"/>
    <mergeCell ref="D37:E37"/>
    <mergeCell ref="D38:E38"/>
    <mergeCell ref="A11:A12"/>
    <mergeCell ref="B11:B12"/>
    <mergeCell ref="A14:E14"/>
    <mergeCell ref="A20:B20"/>
    <mergeCell ref="A27:B27"/>
  </mergeCells>
  <pageMargins left="0.7" right="0.7" top="0.75" bottom="0.75" header="0.3" footer="0.3"/>
  <pageSetup paperSize="9" scale="7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43" zoomScaleNormal="100" workbookViewId="0">
      <selection activeCell="F58" sqref="A1:F58"/>
    </sheetView>
  </sheetViews>
  <sheetFormatPr defaultRowHeight="15.75" x14ac:dyDescent="0.25"/>
  <cols>
    <col min="1" max="1" width="5.28515625" style="85" customWidth="1"/>
    <col min="2" max="2" width="40.140625" style="85" customWidth="1"/>
    <col min="3" max="3" width="8.85546875" style="85" customWidth="1"/>
    <col min="4" max="4" width="22.5703125" style="85" customWidth="1"/>
    <col min="5" max="5" width="10.140625" style="85" bestFit="1" customWidth="1"/>
    <col min="6" max="6" width="13.85546875" style="85" customWidth="1"/>
    <col min="7" max="7" width="13.85546875" style="85" hidden="1" customWidth="1"/>
    <col min="8" max="10" width="9.140625" style="85"/>
    <col min="11" max="11" width="10.140625" style="85" bestFit="1" customWidth="1"/>
    <col min="12" max="256" width="9.140625" style="85"/>
    <col min="257" max="257" width="5.28515625" style="85" customWidth="1"/>
    <col min="258" max="258" width="40.140625" style="85" customWidth="1"/>
    <col min="259" max="259" width="6.28515625" style="85" customWidth="1"/>
    <col min="260" max="260" width="9.85546875" style="85" customWidth="1"/>
    <col min="261" max="261" width="10.140625" style="85" bestFit="1" customWidth="1"/>
    <col min="262" max="262" width="13.85546875" style="85" customWidth="1"/>
    <col min="263" max="512" width="9.140625" style="85"/>
    <col min="513" max="513" width="5.28515625" style="85" customWidth="1"/>
    <col min="514" max="514" width="40.140625" style="85" customWidth="1"/>
    <col min="515" max="515" width="6.28515625" style="85" customWidth="1"/>
    <col min="516" max="516" width="9.85546875" style="85" customWidth="1"/>
    <col min="517" max="517" width="10.140625" style="85" bestFit="1" customWidth="1"/>
    <col min="518" max="518" width="13.85546875" style="85" customWidth="1"/>
    <col min="519" max="768" width="9.140625" style="85"/>
    <col min="769" max="769" width="5.28515625" style="85" customWidth="1"/>
    <col min="770" max="770" width="40.140625" style="85" customWidth="1"/>
    <col min="771" max="771" width="6.28515625" style="85" customWidth="1"/>
    <col min="772" max="772" width="9.85546875" style="85" customWidth="1"/>
    <col min="773" max="773" width="10.140625" style="85" bestFit="1" customWidth="1"/>
    <col min="774" max="774" width="13.85546875" style="85" customWidth="1"/>
    <col min="775" max="1024" width="9.140625" style="85"/>
    <col min="1025" max="1025" width="5.28515625" style="85" customWidth="1"/>
    <col min="1026" max="1026" width="40.140625" style="85" customWidth="1"/>
    <col min="1027" max="1027" width="6.28515625" style="85" customWidth="1"/>
    <col min="1028" max="1028" width="9.85546875" style="85" customWidth="1"/>
    <col min="1029" max="1029" width="10.140625" style="85" bestFit="1" customWidth="1"/>
    <col min="1030" max="1030" width="13.85546875" style="85" customWidth="1"/>
    <col min="1031" max="1280" width="9.140625" style="85"/>
    <col min="1281" max="1281" width="5.28515625" style="85" customWidth="1"/>
    <col min="1282" max="1282" width="40.140625" style="85" customWidth="1"/>
    <col min="1283" max="1283" width="6.28515625" style="85" customWidth="1"/>
    <col min="1284" max="1284" width="9.85546875" style="85" customWidth="1"/>
    <col min="1285" max="1285" width="10.140625" style="85" bestFit="1" customWidth="1"/>
    <col min="1286" max="1286" width="13.85546875" style="85" customWidth="1"/>
    <col min="1287" max="1536" width="9.140625" style="85"/>
    <col min="1537" max="1537" width="5.28515625" style="85" customWidth="1"/>
    <col min="1538" max="1538" width="40.140625" style="85" customWidth="1"/>
    <col min="1539" max="1539" width="6.28515625" style="85" customWidth="1"/>
    <col min="1540" max="1540" width="9.85546875" style="85" customWidth="1"/>
    <col min="1541" max="1541" width="10.140625" style="85" bestFit="1" customWidth="1"/>
    <col min="1542" max="1542" width="13.85546875" style="85" customWidth="1"/>
    <col min="1543" max="1792" width="9.140625" style="85"/>
    <col min="1793" max="1793" width="5.28515625" style="85" customWidth="1"/>
    <col min="1794" max="1794" width="40.140625" style="85" customWidth="1"/>
    <col min="1795" max="1795" width="6.28515625" style="85" customWidth="1"/>
    <col min="1796" max="1796" width="9.85546875" style="85" customWidth="1"/>
    <col min="1797" max="1797" width="10.140625" style="85" bestFit="1" customWidth="1"/>
    <col min="1798" max="1798" width="13.85546875" style="85" customWidth="1"/>
    <col min="1799" max="2048" width="9.140625" style="85"/>
    <col min="2049" max="2049" width="5.28515625" style="85" customWidth="1"/>
    <col min="2050" max="2050" width="40.140625" style="85" customWidth="1"/>
    <col min="2051" max="2051" width="6.28515625" style="85" customWidth="1"/>
    <col min="2052" max="2052" width="9.85546875" style="85" customWidth="1"/>
    <col min="2053" max="2053" width="10.140625" style="85" bestFit="1" customWidth="1"/>
    <col min="2054" max="2054" width="13.85546875" style="85" customWidth="1"/>
    <col min="2055" max="2304" width="9.140625" style="85"/>
    <col min="2305" max="2305" width="5.28515625" style="85" customWidth="1"/>
    <col min="2306" max="2306" width="40.140625" style="85" customWidth="1"/>
    <col min="2307" max="2307" width="6.28515625" style="85" customWidth="1"/>
    <col min="2308" max="2308" width="9.85546875" style="85" customWidth="1"/>
    <col min="2309" max="2309" width="10.140625" style="85" bestFit="1" customWidth="1"/>
    <col min="2310" max="2310" width="13.85546875" style="85" customWidth="1"/>
    <col min="2311" max="2560" width="9.140625" style="85"/>
    <col min="2561" max="2561" width="5.28515625" style="85" customWidth="1"/>
    <col min="2562" max="2562" width="40.140625" style="85" customWidth="1"/>
    <col min="2563" max="2563" width="6.28515625" style="85" customWidth="1"/>
    <col min="2564" max="2564" width="9.85546875" style="85" customWidth="1"/>
    <col min="2565" max="2565" width="10.140625" style="85" bestFit="1" customWidth="1"/>
    <col min="2566" max="2566" width="13.85546875" style="85" customWidth="1"/>
    <col min="2567" max="2816" width="9.140625" style="85"/>
    <col min="2817" max="2817" width="5.28515625" style="85" customWidth="1"/>
    <col min="2818" max="2818" width="40.140625" style="85" customWidth="1"/>
    <col min="2819" max="2819" width="6.28515625" style="85" customWidth="1"/>
    <col min="2820" max="2820" width="9.85546875" style="85" customWidth="1"/>
    <col min="2821" max="2821" width="10.140625" style="85" bestFit="1" customWidth="1"/>
    <col min="2822" max="2822" width="13.85546875" style="85" customWidth="1"/>
    <col min="2823" max="3072" width="9.140625" style="85"/>
    <col min="3073" max="3073" width="5.28515625" style="85" customWidth="1"/>
    <col min="3074" max="3074" width="40.140625" style="85" customWidth="1"/>
    <col min="3075" max="3075" width="6.28515625" style="85" customWidth="1"/>
    <col min="3076" max="3076" width="9.85546875" style="85" customWidth="1"/>
    <col min="3077" max="3077" width="10.140625" style="85" bestFit="1" customWidth="1"/>
    <col min="3078" max="3078" width="13.85546875" style="85" customWidth="1"/>
    <col min="3079" max="3328" width="9.140625" style="85"/>
    <col min="3329" max="3329" width="5.28515625" style="85" customWidth="1"/>
    <col min="3330" max="3330" width="40.140625" style="85" customWidth="1"/>
    <col min="3331" max="3331" width="6.28515625" style="85" customWidth="1"/>
    <col min="3332" max="3332" width="9.85546875" style="85" customWidth="1"/>
    <col min="3333" max="3333" width="10.140625" style="85" bestFit="1" customWidth="1"/>
    <col min="3334" max="3334" width="13.85546875" style="85" customWidth="1"/>
    <col min="3335" max="3584" width="9.140625" style="85"/>
    <col min="3585" max="3585" width="5.28515625" style="85" customWidth="1"/>
    <col min="3586" max="3586" width="40.140625" style="85" customWidth="1"/>
    <col min="3587" max="3587" width="6.28515625" style="85" customWidth="1"/>
    <col min="3588" max="3588" width="9.85546875" style="85" customWidth="1"/>
    <col min="3589" max="3589" width="10.140625" style="85" bestFit="1" customWidth="1"/>
    <col min="3590" max="3590" width="13.85546875" style="85" customWidth="1"/>
    <col min="3591" max="3840" width="9.140625" style="85"/>
    <col min="3841" max="3841" width="5.28515625" style="85" customWidth="1"/>
    <col min="3842" max="3842" width="40.140625" style="85" customWidth="1"/>
    <col min="3843" max="3843" width="6.28515625" style="85" customWidth="1"/>
    <col min="3844" max="3844" width="9.85546875" style="85" customWidth="1"/>
    <col min="3845" max="3845" width="10.140625" style="85" bestFit="1" customWidth="1"/>
    <col min="3846" max="3846" width="13.85546875" style="85" customWidth="1"/>
    <col min="3847" max="4096" width="9.140625" style="85"/>
    <col min="4097" max="4097" width="5.28515625" style="85" customWidth="1"/>
    <col min="4098" max="4098" width="40.140625" style="85" customWidth="1"/>
    <col min="4099" max="4099" width="6.28515625" style="85" customWidth="1"/>
    <col min="4100" max="4100" width="9.85546875" style="85" customWidth="1"/>
    <col min="4101" max="4101" width="10.140625" style="85" bestFit="1" customWidth="1"/>
    <col min="4102" max="4102" width="13.85546875" style="85" customWidth="1"/>
    <col min="4103" max="4352" width="9.140625" style="85"/>
    <col min="4353" max="4353" width="5.28515625" style="85" customWidth="1"/>
    <col min="4354" max="4354" width="40.140625" style="85" customWidth="1"/>
    <col min="4355" max="4355" width="6.28515625" style="85" customWidth="1"/>
    <col min="4356" max="4356" width="9.85546875" style="85" customWidth="1"/>
    <col min="4357" max="4357" width="10.140625" style="85" bestFit="1" customWidth="1"/>
    <col min="4358" max="4358" width="13.85546875" style="85" customWidth="1"/>
    <col min="4359" max="4608" width="9.140625" style="85"/>
    <col min="4609" max="4609" width="5.28515625" style="85" customWidth="1"/>
    <col min="4610" max="4610" width="40.140625" style="85" customWidth="1"/>
    <col min="4611" max="4611" width="6.28515625" style="85" customWidth="1"/>
    <col min="4612" max="4612" width="9.85546875" style="85" customWidth="1"/>
    <col min="4613" max="4613" width="10.140625" style="85" bestFit="1" customWidth="1"/>
    <col min="4614" max="4614" width="13.85546875" style="85" customWidth="1"/>
    <col min="4615" max="4864" width="9.140625" style="85"/>
    <col min="4865" max="4865" width="5.28515625" style="85" customWidth="1"/>
    <col min="4866" max="4866" width="40.140625" style="85" customWidth="1"/>
    <col min="4867" max="4867" width="6.28515625" style="85" customWidth="1"/>
    <col min="4868" max="4868" width="9.85546875" style="85" customWidth="1"/>
    <col min="4869" max="4869" width="10.140625" style="85" bestFit="1" customWidth="1"/>
    <col min="4870" max="4870" width="13.85546875" style="85" customWidth="1"/>
    <col min="4871" max="5120" width="9.140625" style="85"/>
    <col min="5121" max="5121" width="5.28515625" style="85" customWidth="1"/>
    <col min="5122" max="5122" width="40.140625" style="85" customWidth="1"/>
    <col min="5123" max="5123" width="6.28515625" style="85" customWidth="1"/>
    <col min="5124" max="5124" width="9.85546875" style="85" customWidth="1"/>
    <col min="5125" max="5125" width="10.140625" style="85" bestFit="1" customWidth="1"/>
    <col min="5126" max="5126" width="13.85546875" style="85" customWidth="1"/>
    <col min="5127" max="5376" width="9.140625" style="85"/>
    <col min="5377" max="5377" width="5.28515625" style="85" customWidth="1"/>
    <col min="5378" max="5378" width="40.140625" style="85" customWidth="1"/>
    <col min="5379" max="5379" width="6.28515625" style="85" customWidth="1"/>
    <col min="5380" max="5380" width="9.85546875" style="85" customWidth="1"/>
    <col min="5381" max="5381" width="10.140625" style="85" bestFit="1" customWidth="1"/>
    <col min="5382" max="5382" width="13.85546875" style="85" customWidth="1"/>
    <col min="5383" max="5632" width="9.140625" style="85"/>
    <col min="5633" max="5633" width="5.28515625" style="85" customWidth="1"/>
    <col min="5634" max="5634" width="40.140625" style="85" customWidth="1"/>
    <col min="5635" max="5635" width="6.28515625" style="85" customWidth="1"/>
    <col min="5636" max="5636" width="9.85546875" style="85" customWidth="1"/>
    <col min="5637" max="5637" width="10.140625" style="85" bestFit="1" customWidth="1"/>
    <col min="5638" max="5638" width="13.85546875" style="85" customWidth="1"/>
    <col min="5639" max="5888" width="9.140625" style="85"/>
    <col min="5889" max="5889" width="5.28515625" style="85" customWidth="1"/>
    <col min="5890" max="5890" width="40.140625" style="85" customWidth="1"/>
    <col min="5891" max="5891" width="6.28515625" style="85" customWidth="1"/>
    <col min="5892" max="5892" width="9.85546875" style="85" customWidth="1"/>
    <col min="5893" max="5893" width="10.140625" style="85" bestFit="1" customWidth="1"/>
    <col min="5894" max="5894" width="13.85546875" style="85" customWidth="1"/>
    <col min="5895" max="6144" width="9.140625" style="85"/>
    <col min="6145" max="6145" width="5.28515625" style="85" customWidth="1"/>
    <col min="6146" max="6146" width="40.140625" style="85" customWidth="1"/>
    <col min="6147" max="6147" width="6.28515625" style="85" customWidth="1"/>
    <col min="6148" max="6148" width="9.85546875" style="85" customWidth="1"/>
    <col min="6149" max="6149" width="10.140625" style="85" bestFit="1" customWidth="1"/>
    <col min="6150" max="6150" width="13.85546875" style="85" customWidth="1"/>
    <col min="6151" max="6400" width="9.140625" style="85"/>
    <col min="6401" max="6401" width="5.28515625" style="85" customWidth="1"/>
    <col min="6402" max="6402" width="40.140625" style="85" customWidth="1"/>
    <col min="6403" max="6403" width="6.28515625" style="85" customWidth="1"/>
    <col min="6404" max="6404" width="9.85546875" style="85" customWidth="1"/>
    <col min="6405" max="6405" width="10.140625" style="85" bestFit="1" customWidth="1"/>
    <col min="6406" max="6406" width="13.85546875" style="85" customWidth="1"/>
    <col min="6407" max="6656" width="9.140625" style="85"/>
    <col min="6657" max="6657" width="5.28515625" style="85" customWidth="1"/>
    <col min="6658" max="6658" width="40.140625" style="85" customWidth="1"/>
    <col min="6659" max="6659" width="6.28515625" style="85" customWidth="1"/>
    <col min="6660" max="6660" width="9.85546875" style="85" customWidth="1"/>
    <col min="6661" max="6661" width="10.140625" style="85" bestFit="1" customWidth="1"/>
    <col min="6662" max="6662" width="13.85546875" style="85" customWidth="1"/>
    <col min="6663" max="6912" width="9.140625" style="85"/>
    <col min="6913" max="6913" width="5.28515625" style="85" customWidth="1"/>
    <col min="6914" max="6914" width="40.140625" style="85" customWidth="1"/>
    <col min="6915" max="6915" width="6.28515625" style="85" customWidth="1"/>
    <col min="6916" max="6916" width="9.85546875" style="85" customWidth="1"/>
    <col min="6917" max="6917" width="10.140625" style="85" bestFit="1" customWidth="1"/>
    <col min="6918" max="6918" width="13.85546875" style="85" customWidth="1"/>
    <col min="6919" max="7168" width="9.140625" style="85"/>
    <col min="7169" max="7169" width="5.28515625" style="85" customWidth="1"/>
    <col min="7170" max="7170" width="40.140625" style="85" customWidth="1"/>
    <col min="7171" max="7171" width="6.28515625" style="85" customWidth="1"/>
    <col min="7172" max="7172" width="9.85546875" style="85" customWidth="1"/>
    <col min="7173" max="7173" width="10.140625" style="85" bestFit="1" customWidth="1"/>
    <col min="7174" max="7174" width="13.85546875" style="85" customWidth="1"/>
    <col min="7175" max="7424" width="9.140625" style="85"/>
    <col min="7425" max="7425" width="5.28515625" style="85" customWidth="1"/>
    <col min="7426" max="7426" width="40.140625" style="85" customWidth="1"/>
    <col min="7427" max="7427" width="6.28515625" style="85" customWidth="1"/>
    <col min="7428" max="7428" width="9.85546875" style="85" customWidth="1"/>
    <col min="7429" max="7429" width="10.140625" style="85" bestFit="1" customWidth="1"/>
    <col min="7430" max="7430" width="13.85546875" style="85" customWidth="1"/>
    <col min="7431" max="7680" width="9.140625" style="85"/>
    <col min="7681" max="7681" width="5.28515625" style="85" customWidth="1"/>
    <col min="7682" max="7682" width="40.140625" style="85" customWidth="1"/>
    <col min="7683" max="7683" width="6.28515625" style="85" customWidth="1"/>
    <col min="7684" max="7684" width="9.85546875" style="85" customWidth="1"/>
    <col min="7685" max="7685" width="10.140625" style="85" bestFit="1" customWidth="1"/>
    <col min="7686" max="7686" width="13.85546875" style="85" customWidth="1"/>
    <col min="7687" max="7936" width="9.140625" style="85"/>
    <col min="7937" max="7937" width="5.28515625" style="85" customWidth="1"/>
    <col min="7938" max="7938" width="40.140625" style="85" customWidth="1"/>
    <col min="7939" max="7939" width="6.28515625" style="85" customWidth="1"/>
    <col min="7940" max="7940" width="9.85546875" style="85" customWidth="1"/>
    <col min="7941" max="7941" width="10.140625" style="85" bestFit="1" customWidth="1"/>
    <col min="7942" max="7942" width="13.85546875" style="85" customWidth="1"/>
    <col min="7943" max="8192" width="9.140625" style="85"/>
    <col min="8193" max="8193" width="5.28515625" style="85" customWidth="1"/>
    <col min="8194" max="8194" width="40.140625" style="85" customWidth="1"/>
    <col min="8195" max="8195" width="6.28515625" style="85" customWidth="1"/>
    <col min="8196" max="8196" width="9.85546875" style="85" customWidth="1"/>
    <col min="8197" max="8197" width="10.140625" style="85" bestFit="1" customWidth="1"/>
    <col min="8198" max="8198" width="13.85546875" style="85" customWidth="1"/>
    <col min="8199" max="8448" width="9.140625" style="85"/>
    <col min="8449" max="8449" width="5.28515625" style="85" customWidth="1"/>
    <col min="8450" max="8450" width="40.140625" style="85" customWidth="1"/>
    <col min="8451" max="8451" width="6.28515625" style="85" customWidth="1"/>
    <col min="8452" max="8452" width="9.85546875" style="85" customWidth="1"/>
    <col min="8453" max="8453" width="10.140625" style="85" bestFit="1" customWidth="1"/>
    <col min="8454" max="8454" width="13.85546875" style="85" customWidth="1"/>
    <col min="8455" max="8704" width="9.140625" style="85"/>
    <col min="8705" max="8705" width="5.28515625" style="85" customWidth="1"/>
    <col min="8706" max="8706" width="40.140625" style="85" customWidth="1"/>
    <col min="8707" max="8707" width="6.28515625" style="85" customWidth="1"/>
    <col min="8708" max="8708" width="9.85546875" style="85" customWidth="1"/>
    <col min="8709" max="8709" width="10.140625" style="85" bestFit="1" customWidth="1"/>
    <col min="8710" max="8710" width="13.85546875" style="85" customWidth="1"/>
    <col min="8711" max="8960" width="9.140625" style="85"/>
    <col min="8961" max="8961" width="5.28515625" style="85" customWidth="1"/>
    <col min="8962" max="8962" width="40.140625" style="85" customWidth="1"/>
    <col min="8963" max="8963" width="6.28515625" style="85" customWidth="1"/>
    <col min="8964" max="8964" width="9.85546875" style="85" customWidth="1"/>
    <col min="8965" max="8965" width="10.140625" style="85" bestFit="1" customWidth="1"/>
    <col min="8966" max="8966" width="13.85546875" style="85" customWidth="1"/>
    <col min="8967" max="9216" width="9.140625" style="85"/>
    <col min="9217" max="9217" width="5.28515625" style="85" customWidth="1"/>
    <col min="9218" max="9218" width="40.140625" style="85" customWidth="1"/>
    <col min="9219" max="9219" width="6.28515625" style="85" customWidth="1"/>
    <col min="9220" max="9220" width="9.85546875" style="85" customWidth="1"/>
    <col min="9221" max="9221" width="10.140625" style="85" bestFit="1" customWidth="1"/>
    <col min="9222" max="9222" width="13.85546875" style="85" customWidth="1"/>
    <col min="9223" max="9472" width="9.140625" style="85"/>
    <col min="9473" max="9473" width="5.28515625" style="85" customWidth="1"/>
    <col min="9474" max="9474" width="40.140625" style="85" customWidth="1"/>
    <col min="9475" max="9475" width="6.28515625" style="85" customWidth="1"/>
    <col min="9476" max="9476" width="9.85546875" style="85" customWidth="1"/>
    <col min="9477" max="9477" width="10.140625" style="85" bestFit="1" customWidth="1"/>
    <col min="9478" max="9478" width="13.85546875" style="85" customWidth="1"/>
    <col min="9479" max="9728" width="9.140625" style="85"/>
    <col min="9729" max="9729" width="5.28515625" style="85" customWidth="1"/>
    <col min="9730" max="9730" width="40.140625" style="85" customWidth="1"/>
    <col min="9731" max="9731" width="6.28515625" style="85" customWidth="1"/>
    <col min="9732" max="9732" width="9.85546875" style="85" customWidth="1"/>
    <col min="9733" max="9733" width="10.140625" style="85" bestFit="1" customWidth="1"/>
    <col min="9734" max="9734" width="13.85546875" style="85" customWidth="1"/>
    <col min="9735" max="9984" width="9.140625" style="85"/>
    <col min="9985" max="9985" width="5.28515625" style="85" customWidth="1"/>
    <col min="9986" max="9986" width="40.140625" style="85" customWidth="1"/>
    <col min="9987" max="9987" width="6.28515625" style="85" customWidth="1"/>
    <col min="9988" max="9988" width="9.85546875" style="85" customWidth="1"/>
    <col min="9989" max="9989" width="10.140625" style="85" bestFit="1" customWidth="1"/>
    <col min="9990" max="9990" width="13.85546875" style="85" customWidth="1"/>
    <col min="9991" max="10240" width="9.140625" style="85"/>
    <col min="10241" max="10241" width="5.28515625" style="85" customWidth="1"/>
    <col min="10242" max="10242" width="40.140625" style="85" customWidth="1"/>
    <col min="10243" max="10243" width="6.28515625" style="85" customWidth="1"/>
    <col min="10244" max="10244" width="9.85546875" style="85" customWidth="1"/>
    <col min="10245" max="10245" width="10.140625" style="85" bestFit="1" customWidth="1"/>
    <col min="10246" max="10246" width="13.85546875" style="85" customWidth="1"/>
    <col min="10247" max="10496" width="9.140625" style="85"/>
    <col min="10497" max="10497" width="5.28515625" style="85" customWidth="1"/>
    <col min="10498" max="10498" width="40.140625" style="85" customWidth="1"/>
    <col min="10499" max="10499" width="6.28515625" style="85" customWidth="1"/>
    <col min="10500" max="10500" width="9.85546875" style="85" customWidth="1"/>
    <col min="10501" max="10501" width="10.140625" style="85" bestFit="1" customWidth="1"/>
    <col min="10502" max="10502" width="13.85546875" style="85" customWidth="1"/>
    <col min="10503" max="10752" width="9.140625" style="85"/>
    <col min="10753" max="10753" width="5.28515625" style="85" customWidth="1"/>
    <col min="10754" max="10754" width="40.140625" style="85" customWidth="1"/>
    <col min="10755" max="10755" width="6.28515625" style="85" customWidth="1"/>
    <col min="10756" max="10756" width="9.85546875" style="85" customWidth="1"/>
    <col min="10757" max="10757" width="10.140625" style="85" bestFit="1" customWidth="1"/>
    <col min="10758" max="10758" width="13.85546875" style="85" customWidth="1"/>
    <col min="10759" max="11008" width="9.140625" style="85"/>
    <col min="11009" max="11009" width="5.28515625" style="85" customWidth="1"/>
    <col min="11010" max="11010" width="40.140625" style="85" customWidth="1"/>
    <col min="11011" max="11011" width="6.28515625" style="85" customWidth="1"/>
    <col min="11012" max="11012" width="9.85546875" style="85" customWidth="1"/>
    <col min="11013" max="11013" width="10.140625" style="85" bestFit="1" customWidth="1"/>
    <col min="11014" max="11014" width="13.85546875" style="85" customWidth="1"/>
    <col min="11015" max="11264" width="9.140625" style="85"/>
    <col min="11265" max="11265" width="5.28515625" style="85" customWidth="1"/>
    <col min="11266" max="11266" width="40.140625" style="85" customWidth="1"/>
    <col min="11267" max="11267" width="6.28515625" style="85" customWidth="1"/>
    <col min="11268" max="11268" width="9.85546875" style="85" customWidth="1"/>
    <col min="11269" max="11269" width="10.140625" style="85" bestFit="1" customWidth="1"/>
    <col min="11270" max="11270" width="13.85546875" style="85" customWidth="1"/>
    <col min="11271" max="11520" width="9.140625" style="85"/>
    <col min="11521" max="11521" width="5.28515625" style="85" customWidth="1"/>
    <col min="11522" max="11522" width="40.140625" style="85" customWidth="1"/>
    <col min="11523" max="11523" width="6.28515625" style="85" customWidth="1"/>
    <col min="11524" max="11524" width="9.85546875" style="85" customWidth="1"/>
    <col min="11525" max="11525" width="10.140625" style="85" bestFit="1" customWidth="1"/>
    <col min="11526" max="11526" width="13.85546875" style="85" customWidth="1"/>
    <col min="11527" max="11776" width="9.140625" style="85"/>
    <col min="11777" max="11777" width="5.28515625" style="85" customWidth="1"/>
    <col min="11778" max="11778" width="40.140625" style="85" customWidth="1"/>
    <col min="11779" max="11779" width="6.28515625" style="85" customWidth="1"/>
    <col min="11780" max="11780" width="9.85546875" style="85" customWidth="1"/>
    <col min="11781" max="11781" width="10.140625" style="85" bestFit="1" customWidth="1"/>
    <col min="11782" max="11782" width="13.85546875" style="85" customWidth="1"/>
    <col min="11783" max="12032" width="9.140625" style="85"/>
    <col min="12033" max="12033" width="5.28515625" style="85" customWidth="1"/>
    <col min="12034" max="12034" width="40.140625" style="85" customWidth="1"/>
    <col min="12035" max="12035" width="6.28515625" style="85" customWidth="1"/>
    <col min="12036" max="12036" width="9.85546875" style="85" customWidth="1"/>
    <col min="12037" max="12037" width="10.140625" style="85" bestFit="1" customWidth="1"/>
    <col min="12038" max="12038" width="13.85546875" style="85" customWidth="1"/>
    <col min="12039" max="12288" width="9.140625" style="85"/>
    <col min="12289" max="12289" width="5.28515625" style="85" customWidth="1"/>
    <col min="12290" max="12290" width="40.140625" style="85" customWidth="1"/>
    <col min="12291" max="12291" width="6.28515625" style="85" customWidth="1"/>
    <col min="12292" max="12292" width="9.85546875" style="85" customWidth="1"/>
    <col min="12293" max="12293" width="10.140625" style="85" bestFit="1" customWidth="1"/>
    <col min="12294" max="12294" width="13.85546875" style="85" customWidth="1"/>
    <col min="12295" max="12544" width="9.140625" style="85"/>
    <col min="12545" max="12545" width="5.28515625" style="85" customWidth="1"/>
    <col min="12546" max="12546" width="40.140625" style="85" customWidth="1"/>
    <col min="12547" max="12547" width="6.28515625" style="85" customWidth="1"/>
    <col min="12548" max="12548" width="9.85546875" style="85" customWidth="1"/>
    <col min="12549" max="12549" width="10.140625" style="85" bestFit="1" customWidth="1"/>
    <col min="12550" max="12550" width="13.85546875" style="85" customWidth="1"/>
    <col min="12551" max="12800" width="9.140625" style="85"/>
    <col min="12801" max="12801" width="5.28515625" style="85" customWidth="1"/>
    <col min="12802" max="12802" width="40.140625" style="85" customWidth="1"/>
    <col min="12803" max="12803" width="6.28515625" style="85" customWidth="1"/>
    <col min="12804" max="12804" width="9.85546875" style="85" customWidth="1"/>
    <col min="12805" max="12805" width="10.140625" style="85" bestFit="1" customWidth="1"/>
    <col min="12806" max="12806" width="13.85546875" style="85" customWidth="1"/>
    <col min="12807" max="13056" width="9.140625" style="85"/>
    <col min="13057" max="13057" width="5.28515625" style="85" customWidth="1"/>
    <col min="13058" max="13058" width="40.140625" style="85" customWidth="1"/>
    <col min="13059" max="13059" width="6.28515625" style="85" customWidth="1"/>
    <col min="13060" max="13060" width="9.85546875" style="85" customWidth="1"/>
    <col min="13061" max="13061" width="10.140625" style="85" bestFit="1" customWidth="1"/>
    <col min="13062" max="13062" width="13.85546875" style="85" customWidth="1"/>
    <col min="13063" max="13312" width="9.140625" style="85"/>
    <col min="13313" max="13313" width="5.28515625" style="85" customWidth="1"/>
    <col min="13314" max="13314" width="40.140625" style="85" customWidth="1"/>
    <col min="13315" max="13315" width="6.28515625" style="85" customWidth="1"/>
    <col min="13316" max="13316" width="9.85546875" style="85" customWidth="1"/>
    <col min="13317" max="13317" width="10.140625" style="85" bestFit="1" customWidth="1"/>
    <col min="13318" max="13318" width="13.85546875" style="85" customWidth="1"/>
    <col min="13319" max="13568" width="9.140625" style="85"/>
    <col min="13569" max="13569" width="5.28515625" style="85" customWidth="1"/>
    <col min="13570" max="13570" width="40.140625" style="85" customWidth="1"/>
    <col min="13571" max="13571" width="6.28515625" style="85" customWidth="1"/>
    <col min="13572" max="13572" width="9.85546875" style="85" customWidth="1"/>
    <col min="13573" max="13573" width="10.140625" style="85" bestFit="1" customWidth="1"/>
    <col min="13574" max="13574" width="13.85546875" style="85" customWidth="1"/>
    <col min="13575" max="13824" width="9.140625" style="85"/>
    <col min="13825" max="13825" width="5.28515625" style="85" customWidth="1"/>
    <col min="13826" max="13826" width="40.140625" style="85" customWidth="1"/>
    <col min="13827" max="13827" width="6.28515625" style="85" customWidth="1"/>
    <col min="13828" max="13828" width="9.85546875" style="85" customWidth="1"/>
    <col min="13829" max="13829" width="10.140625" style="85" bestFit="1" customWidth="1"/>
    <col min="13830" max="13830" width="13.85546875" style="85" customWidth="1"/>
    <col min="13831" max="14080" width="9.140625" style="85"/>
    <col min="14081" max="14081" width="5.28515625" style="85" customWidth="1"/>
    <col min="14082" max="14082" width="40.140625" style="85" customWidth="1"/>
    <col min="14083" max="14083" width="6.28515625" style="85" customWidth="1"/>
    <col min="14084" max="14084" width="9.85546875" style="85" customWidth="1"/>
    <col min="14085" max="14085" width="10.140625" style="85" bestFit="1" customWidth="1"/>
    <col min="14086" max="14086" width="13.85546875" style="85" customWidth="1"/>
    <col min="14087" max="14336" width="9.140625" style="85"/>
    <col min="14337" max="14337" width="5.28515625" style="85" customWidth="1"/>
    <col min="14338" max="14338" width="40.140625" style="85" customWidth="1"/>
    <col min="14339" max="14339" width="6.28515625" style="85" customWidth="1"/>
    <col min="14340" max="14340" width="9.85546875" style="85" customWidth="1"/>
    <col min="14341" max="14341" width="10.140625" style="85" bestFit="1" customWidth="1"/>
    <col min="14342" max="14342" width="13.85546875" style="85" customWidth="1"/>
    <col min="14343" max="14592" width="9.140625" style="85"/>
    <col min="14593" max="14593" width="5.28515625" style="85" customWidth="1"/>
    <col min="14594" max="14594" width="40.140625" style="85" customWidth="1"/>
    <col min="14595" max="14595" width="6.28515625" style="85" customWidth="1"/>
    <col min="14596" max="14596" width="9.85546875" style="85" customWidth="1"/>
    <col min="14597" max="14597" width="10.140625" style="85" bestFit="1" customWidth="1"/>
    <col min="14598" max="14598" width="13.85546875" style="85" customWidth="1"/>
    <col min="14599" max="14848" width="9.140625" style="85"/>
    <col min="14849" max="14849" width="5.28515625" style="85" customWidth="1"/>
    <col min="14850" max="14850" width="40.140625" style="85" customWidth="1"/>
    <col min="14851" max="14851" width="6.28515625" style="85" customWidth="1"/>
    <col min="14852" max="14852" width="9.85546875" style="85" customWidth="1"/>
    <col min="14853" max="14853" width="10.140625" style="85" bestFit="1" customWidth="1"/>
    <col min="14854" max="14854" width="13.85546875" style="85" customWidth="1"/>
    <col min="14855" max="15104" width="9.140625" style="85"/>
    <col min="15105" max="15105" width="5.28515625" style="85" customWidth="1"/>
    <col min="15106" max="15106" width="40.140625" style="85" customWidth="1"/>
    <col min="15107" max="15107" width="6.28515625" style="85" customWidth="1"/>
    <col min="15108" max="15108" width="9.85546875" style="85" customWidth="1"/>
    <col min="15109" max="15109" width="10.140625" style="85" bestFit="1" customWidth="1"/>
    <col min="15110" max="15110" width="13.85546875" style="85" customWidth="1"/>
    <col min="15111" max="15360" width="9.140625" style="85"/>
    <col min="15361" max="15361" width="5.28515625" style="85" customWidth="1"/>
    <col min="15362" max="15362" width="40.140625" style="85" customWidth="1"/>
    <col min="15363" max="15363" width="6.28515625" style="85" customWidth="1"/>
    <col min="15364" max="15364" width="9.85546875" style="85" customWidth="1"/>
    <col min="15365" max="15365" width="10.140625" style="85" bestFit="1" customWidth="1"/>
    <col min="15366" max="15366" width="13.85546875" style="85" customWidth="1"/>
    <col min="15367" max="15616" width="9.140625" style="85"/>
    <col min="15617" max="15617" width="5.28515625" style="85" customWidth="1"/>
    <col min="15618" max="15618" width="40.140625" style="85" customWidth="1"/>
    <col min="15619" max="15619" width="6.28515625" style="85" customWidth="1"/>
    <col min="15620" max="15620" width="9.85546875" style="85" customWidth="1"/>
    <col min="15621" max="15621" width="10.140625" style="85" bestFit="1" customWidth="1"/>
    <col min="15622" max="15622" width="13.85546875" style="85" customWidth="1"/>
    <col min="15623" max="15872" width="9.140625" style="85"/>
    <col min="15873" max="15873" width="5.28515625" style="85" customWidth="1"/>
    <col min="15874" max="15874" width="40.140625" style="85" customWidth="1"/>
    <col min="15875" max="15875" width="6.28515625" style="85" customWidth="1"/>
    <col min="15876" max="15876" width="9.85546875" style="85" customWidth="1"/>
    <col min="15877" max="15877" width="10.140625" style="85" bestFit="1" customWidth="1"/>
    <col min="15878" max="15878" width="13.85546875" style="85" customWidth="1"/>
    <col min="15879" max="16128" width="9.140625" style="85"/>
    <col min="16129" max="16129" width="5.28515625" style="85" customWidth="1"/>
    <col min="16130" max="16130" width="40.140625" style="85" customWidth="1"/>
    <col min="16131" max="16131" width="6.28515625" style="85" customWidth="1"/>
    <col min="16132" max="16132" width="9.85546875" style="85" customWidth="1"/>
    <col min="16133" max="16133" width="10.140625" style="85" bestFit="1" customWidth="1"/>
    <col min="16134" max="16134" width="13.85546875" style="85" customWidth="1"/>
    <col min="16135" max="16384" width="9.140625" style="85"/>
  </cols>
  <sheetData>
    <row r="1" spans="1:11" ht="36.75" customHeight="1" x14ac:dyDescent="0.25">
      <c r="B1" s="140" t="s">
        <v>248</v>
      </c>
      <c r="C1" s="141"/>
      <c r="D1" s="141"/>
      <c r="E1" s="141"/>
      <c r="F1" s="141"/>
      <c r="G1" s="141"/>
      <c r="H1" s="141"/>
    </row>
    <row r="2" spans="1:11" ht="17.25" customHeight="1" x14ac:dyDescent="0.25">
      <c r="B2" s="140" t="s">
        <v>29</v>
      </c>
      <c r="C2" s="141"/>
      <c r="D2" s="141"/>
      <c r="E2" s="141"/>
      <c r="F2" s="141"/>
      <c r="G2" s="141"/>
      <c r="H2" s="141"/>
    </row>
    <row r="3" spans="1:11" x14ac:dyDescent="0.25">
      <c r="B3" s="85" t="s">
        <v>196</v>
      </c>
    </row>
    <row r="4" spans="1:11" ht="19.5" thickBot="1" x14ac:dyDescent="0.35">
      <c r="A4" s="740" t="s">
        <v>197</v>
      </c>
      <c r="B4" s="740"/>
      <c r="C4" s="740"/>
      <c r="D4" s="740"/>
      <c r="E4" s="740"/>
      <c r="F4" s="740"/>
    </row>
    <row r="5" spans="1:11" ht="25.5" hidden="1" customHeight="1" thickBot="1" x14ac:dyDescent="0.3">
      <c r="B5" s="23" t="s">
        <v>11</v>
      </c>
      <c r="C5" s="10">
        <v>4.5019</v>
      </c>
      <c r="D5" s="504" t="s">
        <v>10</v>
      </c>
      <c r="E5" s="504"/>
      <c r="F5" s="505" t="s">
        <v>671</v>
      </c>
      <c r="G5" s="505"/>
    </row>
    <row r="6" spans="1:11" ht="27" thickBot="1" x14ac:dyDescent="0.3">
      <c r="A6" s="87" t="s">
        <v>0</v>
      </c>
      <c r="B6" s="88" t="s">
        <v>198</v>
      </c>
      <c r="C6" s="88" t="s">
        <v>37</v>
      </c>
      <c r="D6" s="88" t="s">
        <v>199</v>
      </c>
      <c r="E6" s="89" t="s">
        <v>200</v>
      </c>
      <c r="F6" s="90" t="s">
        <v>681</v>
      </c>
      <c r="G6" s="90" t="s">
        <v>201</v>
      </c>
    </row>
    <row r="7" spans="1:11" x14ac:dyDescent="0.25">
      <c r="A7" s="91"/>
      <c r="B7" s="92"/>
      <c r="C7" s="92"/>
      <c r="D7" s="93"/>
      <c r="E7" s="94"/>
      <c r="F7" s="95"/>
      <c r="G7" s="95"/>
    </row>
    <row r="8" spans="1:11" ht="18.75" customHeight="1" x14ac:dyDescent="0.25">
      <c r="A8" s="96"/>
      <c r="B8" s="97" t="s">
        <v>202</v>
      </c>
      <c r="C8" s="98"/>
      <c r="D8" s="99"/>
      <c r="E8" s="100"/>
      <c r="F8" s="101">
        <f>F9+F17</f>
        <v>287236.07627000002</v>
      </c>
      <c r="G8" s="101">
        <f>F8/C5</f>
        <v>63803.3</v>
      </c>
      <c r="I8" s="525"/>
      <c r="K8" s="525"/>
    </row>
    <row r="9" spans="1:11" ht="18" customHeight="1" x14ac:dyDescent="0.25">
      <c r="A9" s="102">
        <v>1</v>
      </c>
      <c r="B9" s="103" t="s">
        <v>203</v>
      </c>
      <c r="C9" s="104"/>
      <c r="D9" s="105"/>
      <c r="E9" s="106"/>
      <c r="F9" s="107">
        <f>SUM(F10:F16)</f>
        <v>26527.445749999999</v>
      </c>
      <c r="G9" s="107">
        <f>SUM(G10:G16)</f>
        <v>5892.5</v>
      </c>
    </row>
    <row r="10" spans="1:11" ht="33" customHeight="1" x14ac:dyDescent="0.25">
      <c r="A10" s="108">
        <v>1</v>
      </c>
      <c r="B10" s="109" t="s">
        <v>204</v>
      </c>
      <c r="C10" s="104" t="s">
        <v>205</v>
      </c>
      <c r="D10" s="105">
        <v>3.5</v>
      </c>
      <c r="E10" s="106">
        <f>65*C5</f>
        <v>292.62349999999998</v>
      </c>
      <c r="F10" s="110">
        <f t="shared" ref="F10:F16" si="0">D10*E10</f>
        <v>1024.1822499999998</v>
      </c>
      <c r="G10" s="110">
        <f>F10/C5</f>
        <v>227.49999999999997</v>
      </c>
    </row>
    <row r="11" spans="1:11" ht="68.25" customHeight="1" x14ac:dyDescent="0.25">
      <c r="A11" s="108">
        <v>2</v>
      </c>
      <c r="B11" s="109" t="s">
        <v>206</v>
      </c>
      <c r="C11" s="104" t="s">
        <v>146</v>
      </c>
      <c r="D11" s="105">
        <v>300</v>
      </c>
      <c r="E11" s="106">
        <f>7*C5</f>
        <v>31.513300000000001</v>
      </c>
      <c r="F11" s="110">
        <f t="shared" si="0"/>
        <v>9453.99</v>
      </c>
      <c r="G11" s="110">
        <f>F11/C5</f>
        <v>2100</v>
      </c>
    </row>
    <row r="12" spans="1:11" ht="33" customHeight="1" x14ac:dyDescent="0.25">
      <c r="A12" s="108">
        <v>3</v>
      </c>
      <c r="B12" s="109" t="s">
        <v>207</v>
      </c>
      <c r="C12" s="104" t="s">
        <v>205</v>
      </c>
      <c r="D12" s="105">
        <v>1.5</v>
      </c>
      <c r="E12" s="106">
        <f>70*C5</f>
        <v>315.13299999999998</v>
      </c>
      <c r="F12" s="110">
        <f t="shared" si="0"/>
        <v>472.69949999999994</v>
      </c>
      <c r="G12" s="110">
        <f>F12/C5</f>
        <v>104.99999999999999</v>
      </c>
    </row>
    <row r="13" spans="1:11" ht="31.5" customHeight="1" x14ac:dyDescent="0.25">
      <c r="A13" s="108">
        <v>4</v>
      </c>
      <c r="B13" s="109" t="s">
        <v>208</v>
      </c>
      <c r="C13" s="104" t="s">
        <v>146</v>
      </c>
      <c r="D13" s="105">
        <v>130</v>
      </c>
      <c r="E13" s="106">
        <f>4*C5</f>
        <v>18.0076</v>
      </c>
      <c r="F13" s="110">
        <f t="shared" si="0"/>
        <v>2340.9879999999998</v>
      </c>
      <c r="G13" s="110">
        <f>F13/C5</f>
        <v>520</v>
      </c>
    </row>
    <row r="14" spans="1:11" ht="21" customHeight="1" x14ac:dyDescent="0.25">
      <c r="A14" s="108">
        <v>5</v>
      </c>
      <c r="B14" s="109" t="s">
        <v>209</v>
      </c>
      <c r="C14" s="111" t="s">
        <v>146</v>
      </c>
      <c r="D14" s="105">
        <v>100</v>
      </c>
      <c r="E14" s="106">
        <f>8*C5</f>
        <v>36.0152</v>
      </c>
      <c r="F14" s="110">
        <f t="shared" si="0"/>
        <v>3601.52</v>
      </c>
      <c r="G14" s="110">
        <f>F14/C5</f>
        <v>800</v>
      </c>
    </row>
    <row r="15" spans="1:11" x14ac:dyDescent="0.25">
      <c r="A15" s="108">
        <v>6</v>
      </c>
      <c r="B15" s="109" t="s">
        <v>210</v>
      </c>
      <c r="C15" s="111" t="s">
        <v>153</v>
      </c>
      <c r="D15" s="105">
        <v>800</v>
      </c>
      <c r="E15" s="106">
        <f>0.8*C5</f>
        <v>3.6015200000000003</v>
      </c>
      <c r="F15" s="110">
        <f t="shared" si="0"/>
        <v>2881.2160000000003</v>
      </c>
      <c r="G15" s="110">
        <f>F15/C5</f>
        <v>640.00000000000011</v>
      </c>
    </row>
    <row r="16" spans="1:11" ht="31.5" customHeight="1" x14ac:dyDescent="0.25">
      <c r="A16" s="108">
        <v>7</v>
      </c>
      <c r="B16" s="109" t="s">
        <v>211</v>
      </c>
      <c r="C16" s="111" t="s">
        <v>193</v>
      </c>
      <c r="D16" s="105">
        <v>300</v>
      </c>
      <c r="E16" s="106">
        <f>5*C5</f>
        <v>22.509499999999999</v>
      </c>
      <c r="F16" s="110">
        <f t="shared" si="0"/>
        <v>6752.8499999999995</v>
      </c>
      <c r="G16" s="110">
        <f>F16/C5</f>
        <v>1499.9999999999998</v>
      </c>
    </row>
    <row r="17" spans="1:7" x14ac:dyDescent="0.25">
      <c r="A17" s="112" t="s">
        <v>212</v>
      </c>
      <c r="B17" s="103" t="s">
        <v>213</v>
      </c>
      <c r="C17" s="111"/>
      <c r="D17" s="105"/>
      <c r="E17" s="106"/>
      <c r="F17" s="113">
        <f>SUM(F18:F25)</f>
        <v>260708.63052000001</v>
      </c>
      <c r="G17" s="113">
        <f>SUM(G18:G25)</f>
        <v>57910.8</v>
      </c>
    </row>
    <row r="18" spans="1:7" ht="45" customHeight="1" x14ac:dyDescent="0.25">
      <c r="A18" s="108">
        <v>1</v>
      </c>
      <c r="B18" s="114" t="s">
        <v>214</v>
      </c>
      <c r="C18" s="104" t="s">
        <v>146</v>
      </c>
      <c r="D18" s="105">
        <v>120</v>
      </c>
      <c r="E18" s="115">
        <f>70*C5</f>
        <v>315.13299999999998</v>
      </c>
      <c r="F18" s="110">
        <f t="shared" ref="F18:F25" si="1">D18*E18</f>
        <v>37815.96</v>
      </c>
      <c r="G18" s="110">
        <f>F18/C5</f>
        <v>8400</v>
      </c>
    </row>
    <row r="19" spans="1:7" ht="53.25" customHeight="1" x14ac:dyDescent="0.25">
      <c r="A19" s="108">
        <v>2</v>
      </c>
      <c r="B19" s="109" t="s">
        <v>215</v>
      </c>
      <c r="C19" s="104" t="s">
        <v>146</v>
      </c>
      <c r="D19" s="105">
        <v>220</v>
      </c>
      <c r="E19" s="115">
        <f>85*C5</f>
        <v>382.66149999999999</v>
      </c>
      <c r="F19" s="110">
        <f t="shared" si="1"/>
        <v>84185.53</v>
      </c>
      <c r="G19" s="110">
        <f>F19/C5</f>
        <v>18700</v>
      </c>
    </row>
    <row r="20" spans="1:7" ht="31.5" customHeight="1" x14ac:dyDescent="0.25">
      <c r="A20" s="108">
        <v>3</v>
      </c>
      <c r="B20" s="114" t="s">
        <v>216</v>
      </c>
      <c r="C20" s="104" t="s">
        <v>153</v>
      </c>
      <c r="D20" s="105">
        <v>380</v>
      </c>
      <c r="E20" s="106">
        <f>1.6*C5</f>
        <v>7.2030400000000006</v>
      </c>
      <c r="F20" s="110">
        <f t="shared" si="1"/>
        <v>2737.1552000000001</v>
      </c>
      <c r="G20" s="110">
        <f>F20/C5</f>
        <v>608</v>
      </c>
    </row>
    <row r="21" spans="1:7" ht="31.5" x14ac:dyDescent="0.25">
      <c r="A21" s="108">
        <v>4</v>
      </c>
      <c r="B21" s="109" t="s">
        <v>217</v>
      </c>
      <c r="C21" s="104" t="s">
        <v>147</v>
      </c>
      <c r="D21" s="105">
        <v>28400</v>
      </c>
      <c r="E21" s="115">
        <f>0.8*C5</f>
        <v>3.6015200000000003</v>
      </c>
      <c r="F21" s="110">
        <f t="shared" si="1"/>
        <v>102283.16800000001</v>
      </c>
      <c r="G21" s="110">
        <f>F21/C5</f>
        <v>22720</v>
      </c>
    </row>
    <row r="22" spans="1:7" ht="32.25" customHeight="1" x14ac:dyDescent="0.25">
      <c r="A22" s="108">
        <v>5</v>
      </c>
      <c r="B22" s="109" t="s">
        <v>218</v>
      </c>
      <c r="C22" s="104" t="s">
        <v>146</v>
      </c>
      <c r="D22" s="105">
        <v>50</v>
      </c>
      <c r="E22" s="115">
        <f>85*C5</f>
        <v>382.66149999999999</v>
      </c>
      <c r="F22" s="110">
        <f t="shared" si="1"/>
        <v>19133.075000000001</v>
      </c>
      <c r="G22" s="110">
        <f>F22/C5</f>
        <v>4250</v>
      </c>
    </row>
    <row r="23" spans="1:7" ht="48.75" customHeight="1" x14ac:dyDescent="0.25">
      <c r="A23" s="108">
        <v>6</v>
      </c>
      <c r="B23" s="109" t="s">
        <v>219</v>
      </c>
      <c r="C23" s="104" t="s">
        <v>147</v>
      </c>
      <c r="D23" s="105">
        <v>3466</v>
      </c>
      <c r="E23" s="115">
        <f>0.8*C5</f>
        <v>3.6015200000000003</v>
      </c>
      <c r="F23" s="110">
        <f t="shared" si="1"/>
        <v>12482.868320000001</v>
      </c>
      <c r="G23" s="110">
        <f>F23/C5</f>
        <v>2772.8</v>
      </c>
    </row>
    <row r="24" spans="1:7" x14ac:dyDescent="0.25">
      <c r="A24" s="108">
        <v>7</v>
      </c>
      <c r="B24" s="109" t="s">
        <v>220</v>
      </c>
      <c r="C24" s="104" t="s">
        <v>147</v>
      </c>
      <c r="D24" s="104">
        <v>350</v>
      </c>
      <c r="E24" s="106">
        <f>1*C5</f>
        <v>4.5019</v>
      </c>
      <c r="F24" s="110">
        <f t="shared" si="1"/>
        <v>1575.665</v>
      </c>
      <c r="G24" s="110">
        <f>F24/C5</f>
        <v>350</v>
      </c>
    </row>
    <row r="25" spans="1:7" x14ac:dyDescent="0.25">
      <c r="A25" s="108">
        <v>8</v>
      </c>
      <c r="B25" s="109" t="s">
        <v>221</v>
      </c>
      <c r="C25" s="104" t="s">
        <v>153</v>
      </c>
      <c r="D25" s="104">
        <v>440</v>
      </c>
      <c r="E25" s="106">
        <f>0.25*C5</f>
        <v>1.125475</v>
      </c>
      <c r="F25" s="110">
        <f t="shared" si="1"/>
        <v>495.209</v>
      </c>
      <c r="G25" s="110">
        <f>F25/C5</f>
        <v>110</v>
      </c>
    </row>
    <row r="26" spans="1:7" x14ac:dyDescent="0.25">
      <c r="A26" s="116"/>
      <c r="B26" s="103" t="s">
        <v>222</v>
      </c>
      <c r="C26" s="104"/>
      <c r="D26" s="105"/>
      <c r="E26" s="106"/>
      <c r="F26" s="113">
        <f>F27+F37</f>
        <v>331582.62792</v>
      </c>
      <c r="G26" s="113">
        <f>G27+G37</f>
        <v>73653.930100624188</v>
      </c>
    </row>
    <row r="27" spans="1:7" ht="30" customHeight="1" x14ac:dyDescent="0.25">
      <c r="A27" s="117" t="s">
        <v>223</v>
      </c>
      <c r="B27" s="741" t="s">
        <v>224</v>
      </c>
      <c r="C27" s="742"/>
      <c r="D27" s="105"/>
      <c r="E27" s="106"/>
      <c r="F27" s="113">
        <f>SUM(F28:F36)</f>
        <v>295355.25292</v>
      </c>
      <c r="G27" s="113">
        <f>SUM(G28:G36)</f>
        <v>65606.8</v>
      </c>
    </row>
    <row r="28" spans="1:7" ht="60" customHeight="1" x14ac:dyDescent="0.25">
      <c r="A28" s="116" t="s">
        <v>225</v>
      </c>
      <c r="B28" s="109" t="s">
        <v>226</v>
      </c>
      <c r="C28" s="104" t="s">
        <v>146</v>
      </c>
      <c r="D28" s="105">
        <v>100</v>
      </c>
      <c r="E28" s="115">
        <f>85*C5</f>
        <v>382.66149999999999</v>
      </c>
      <c r="F28" s="110">
        <f t="shared" ref="F28:F36" si="2">D28*E28</f>
        <v>38266.15</v>
      </c>
      <c r="G28" s="110">
        <f>F28/C5</f>
        <v>8500</v>
      </c>
    </row>
    <row r="29" spans="1:7" ht="34.5" customHeight="1" x14ac:dyDescent="0.25">
      <c r="A29" s="116" t="s">
        <v>212</v>
      </c>
      <c r="B29" s="109" t="s">
        <v>227</v>
      </c>
      <c r="C29" s="104" t="s">
        <v>146</v>
      </c>
      <c r="D29" s="105">
        <v>180</v>
      </c>
      <c r="E29" s="115">
        <f>85*C5</f>
        <v>382.66149999999999</v>
      </c>
      <c r="F29" s="110">
        <f t="shared" ref="F29" si="3">D29*E29</f>
        <v>68879.069999999992</v>
      </c>
      <c r="G29" s="110">
        <f>F29/C5</f>
        <v>15299.999999999998</v>
      </c>
    </row>
    <row r="30" spans="1:7" ht="36" customHeight="1" x14ac:dyDescent="0.25">
      <c r="A30" s="116" t="s">
        <v>223</v>
      </c>
      <c r="B30" s="109" t="s">
        <v>217</v>
      </c>
      <c r="C30" s="104" t="s">
        <v>147</v>
      </c>
      <c r="D30" s="105">
        <v>39400</v>
      </c>
      <c r="E30" s="115">
        <f>0.8*C5</f>
        <v>3.6015200000000003</v>
      </c>
      <c r="F30" s="110">
        <f t="shared" si="2"/>
        <v>141899.88800000001</v>
      </c>
      <c r="G30" s="110">
        <f>F30/C5</f>
        <v>31520</v>
      </c>
    </row>
    <row r="31" spans="1:7" x14ac:dyDescent="0.25">
      <c r="A31" s="116" t="s">
        <v>228</v>
      </c>
      <c r="B31" s="109" t="s">
        <v>229</v>
      </c>
      <c r="C31" s="104" t="s">
        <v>153</v>
      </c>
      <c r="D31" s="104">
        <v>468</v>
      </c>
      <c r="E31" s="106">
        <f>1.6*C5</f>
        <v>7.2030400000000006</v>
      </c>
      <c r="F31" s="110">
        <f t="shared" si="2"/>
        <v>3371.0227200000004</v>
      </c>
      <c r="G31" s="110">
        <f>F31/C5</f>
        <v>748.80000000000007</v>
      </c>
    </row>
    <row r="32" spans="1:7" x14ac:dyDescent="0.25">
      <c r="A32" s="116" t="s">
        <v>230</v>
      </c>
      <c r="B32" s="109" t="s">
        <v>231</v>
      </c>
      <c r="C32" s="104" t="s">
        <v>153</v>
      </c>
      <c r="D32" s="104">
        <v>450</v>
      </c>
      <c r="E32" s="106">
        <f>1.6*C5</f>
        <v>7.2030400000000006</v>
      </c>
      <c r="F32" s="110">
        <f t="shared" si="2"/>
        <v>3241.3680000000004</v>
      </c>
      <c r="G32" s="110">
        <f>F32/C5</f>
        <v>720.00000000000011</v>
      </c>
    </row>
    <row r="33" spans="1:7" x14ac:dyDescent="0.25">
      <c r="A33" s="116" t="s">
        <v>232</v>
      </c>
      <c r="B33" s="109" t="s">
        <v>30</v>
      </c>
      <c r="C33" s="104" t="s">
        <v>153</v>
      </c>
      <c r="D33" s="104">
        <v>1105</v>
      </c>
      <c r="E33" s="106">
        <f>1.6*C5</f>
        <v>7.2030400000000006</v>
      </c>
      <c r="F33" s="110">
        <f t="shared" si="2"/>
        <v>7959.3592000000008</v>
      </c>
      <c r="G33" s="110">
        <f>F33/C5</f>
        <v>1768.0000000000002</v>
      </c>
    </row>
    <row r="34" spans="1:7" ht="33.75" customHeight="1" x14ac:dyDescent="0.25">
      <c r="A34" s="116" t="s">
        <v>233</v>
      </c>
      <c r="B34" s="109" t="s">
        <v>234</v>
      </c>
      <c r="C34" s="104" t="s">
        <v>153</v>
      </c>
      <c r="D34" s="104">
        <v>150</v>
      </c>
      <c r="E34" s="106">
        <f>7*C5</f>
        <v>31.513300000000001</v>
      </c>
      <c r="F34" s="110">
        <f t="shared" si="2"/>
        <v>4726.9949999999999</v>
      </c>
      <c r="G34" s="110">
        <f>F34/C5</f>
        <v>1050</v>
      </c>
    </row>
    <row r="35" spans="1:7" ht="18.75" customHeight="1" x14ac:dyDescent="0.25">
      <c r="A35" s="116" t="s">
        <v>235</v>
      </c>
      <c r="B35" s="109" t="s">
        <v>220</v>
      </c>
      <c r="C35" s="104" t="s">
        <v>147</v>
      </c>
      <c r="D35" s="105">
        <v>500</v>
      </c>
      <c r="E35" s="106">
        <f>1*C5</f>
        <v>4.5019</v>
      </c>
      <c r="F35" s="110">
        <f t="shared" si="2"/>
        <v>2250.9499999999998</v>
      </c>
      <c r="G35" s="110">
        <f>F35/C5</f>
        <v>499.99999999999994</v>
      </c>
    </row>
    <row r="36" spans="1:7" ht="45" customHeight="1" x14ac:dyDescent="0.25">
      <c r="A36" s="116" t="s">
        <v>236</v>
      </c>
      <c r="B36" s="109" t="s">
        <v>237</v>
      </c>
      <c r="C36" s="104" t="s">
        <v>147</v>
      </c>
      <c r="D36" s="105">
        <v>5500</v>
      </c>
      <c r="E36" s="106">
        <f>1*C5</f>
        <v>4.5019</v>
      </c>
      <c r="F36" s="110">
        <f t="shared" si="2"/>
        <v>24760.45</v>
      </c>
      <c r="G36" s="110">
        <f>F36/C5</f>
        <v>5500</v>
      </c>
    </row>
    <row r="37" spans="1:7" ht="17.25" customHeight="1" x14ac:dyDescent="0.25">
      <c r="A37" s="117" t="s">
        <v>228</v>
      </c>
      <c r="B37" s="103" t="s">
        <v>238</v>
      </c>
      <c r="C37" s="104"/>
      <c r="D37" s="105"/>
      <c r="E37" s="106"/>
      <c r="F37" s="113">
        <f>SUM(F38:F40)</f>
        <v>36227.375</v>
      </c>
      <c r="G37" s="113">
        <f>SUM(G38:G40)</f>
        <v>8047.1301006241811</v>
      </c>
    </row>
    <row r="38" spans="1:7" ht="31.5" x14ac:dyDescent="0.25">
      <c r="A38" s="116" t="s">
        <v>225</v>
      </c>
      <c r="B38" s="109" t="s">
        <v>239</v>
      </c>
      <c r="C38" s="104" t="s">
        <v>153</v>
      </c>
      <c r="D38" s="104">
        <v>600</v>
      </c>
      <c r="E38" s="115">
        <f>11*4.5</f>
        <v>49.5</v>
      </c>
      <c r="F38" s="110">
        <f>D38*E38</f>
        <v>29700</v>
      </c>
      <c r="G38" s="110">
        <f>F38/C5</f>
        <v>6597.2145094293519</v>
      </c>
    </row>
    <row r="39" spans="1:7" ht="15.75" customHeight="1" x14ac:dyDescent="0.25">
      <c r="A39" s="116" t="s">
        <v>212</v>
      </c>
      <c r="B39" s="109" t="s">
        <v>240</v>
      </c>
      <c r="C39" s="104" t="s">
        <v>147</v>
      </c>
      <c r="D39" s="104">
        <v>1250</v>
      </c>
      <c r="E39" s="106">
        <f>1*C5</f>
        <v>4.5019</v>
      </c>
      <c r="F39" s="110">
        <f>D39*E39</f>
        <v>5627.375</v>
      </c>
      <c r="G39" s="110">
        <f>F39/C5</f>
        <v>1250</v>
      </c>
    </row>
    <row r="40" spans="1:7" ht="15.75" customHeight="1" x14ac:dyDescent="0.25">
      <c r="A40" s="116" t="s">
        <v>223</v>
      </c>
      <c r="B40" s="109" t="s">
        <v>177</v>
      </c>
      <c r="C40" s="104" t="s">
        <v>162</v>
      </c>
      <c r="D40" s="104">
        <v>1.25</v>
      </c>
      <c r="E40" s="106">
        <f>160*4.5</f>
        <v>720</v>
      </c>
      <c r="F40" s="110">
        <f>D40*E40</f>
        <v>900</v>
      </c>
      <c r="G40" s="110">
        <f>F40/C5</f>
        <v>199.91559119482886</v>
      </c>
    </row>
    <row r="41" spans="1:7" ht="15.75" customHeight="1" x14ac:dyDescent="0.25">
      <c r="A41" s="118">
        <v>5</v>
      </c>
      <c r="B41" s="103" t="s">
        <v>180</v>
      </c>
      <c r="C41" s="119"/>
      <c r="D41" s="120"/>
      <c r="E41" s="121"/>
      <c r="F41" s="101">
        <f>SUM(F42:F50)</f>
        <v>8227.2222500000007</v>
      </c>
      <c r="G41" s="101">
        <f>SUM(G42:G50)</f>
        <v>1827.5</v>
      </c>
    </row>
    <row r="42" spans="1:7" ht="53.25" customHeight="1" x14ac:dyDescent="0.25">
      <c r="A42" s="122">
        <v>1</v>
      </c>
      <c r="B42" s="114" t="s">
        <v>148</v>
      </c>
      <c r="C42" s="123" t="s">
        <v>146</v>
      </c>
      <c r="D42" s="124">
        <v>10</v>
      </c>
      <c r="E42" s="121">
        <f>7*C5</f>
        <v>31.513300000000001</v>
      </c>
      <c r="F42" s="125">
        <f t="shared" ref="F42:F52" si="4">D42*E42</f>
        <v>315.13300000000004</v>
      </c>
      <c r="G42" s="125">
        <f>F42/C5</f>
        <v>70.000000000000014</v>
      </c>
    </row>
    <row r="43" spans="1:7" ht="31.5" customHeight="1" x14ac:dyDescent="0.25">
      <c r="A43" s="122">
        <v>2</v>
      </c>
      <c r="B43" s="114" t="s">
        <v>151</v>
      </c>
      <c r="C43" s="123" t="s">
        <v>146</v>
      </c>
      <c r="D43" s="124">
        <v>10</v>
      </c>
      <c r="E43" s="126">
        <f>65*C5</f>
        <v>292.62349999999998</v>
      </c>
      <c r="F43" s="125">
        <f t="shared" si="4"/>
        <v>2926.2349999999997</v>
      </c>
      <c r="G43" s="125">
        <f>F43/C5</f>
        <v>649.99999999999989</v>
      </c>
    </row>
    <row r="44" spans="1:7" ht="50.25" customHeight="1" x14ac:dyDescent="0.25">
      <c r="A44" s="122">
        <v>3</v>
      </c>
      <c r="B44" s="114" t="s">
        <v>181</v>
      </c>
      <c r="C44" s="123" t="s">
        <v>146</v>
      </c>
      <c r="D44" s="124">
        <v>5</v>
      </c>
      <c r="E44" s="126">
        <f>80*C5</f>
        <v>360.15199999999999</v>
      </c>
      <c r="F44" s="125">
        <f t="shared" si="4"/>
        <v>1800.76</v>
      </c>
      <c r="G44" s="125">
        <f>F44/C5</f>
        <v>400</v>
      </c>
    </row>
    <row r="45" spans="1:7" ht="32.25" customHeight="1" x14ac:dyDescent="0.25">
      <c r="A45" s="122">
        <v>4</v>
      </c>
      <c r="B45" s="114" t="s">
        <v>157</v>
      </c>
      <c r="C45" s="123" t="s">
        <v>147</v>
      </c>
      <c r="D45" s="124">
        <v>300</v>
      </c>
      <c r="E45" s="126">
        <f>0.8*C5</f>
        <v>3.6015200000000003</v>
      </c>
      <c r="F45" s="125">
        <f t="shared" si="4"/>
        <v>1080.4560000000001</v>
      </c>
      <c r="G45" s="125">
        <f>F45/C5</f>
        <v>240.00000000000003</v>
      </c>
    </row>
    <row r="46" spans="1:7" ht="18" customHeight="1" x14ac:dyDescent="0.25">
      <c r="A46" s="122">
        <v>5</v>
      </c>
      <c r="B46" s="114" t="s">
        <v>182</v>
      </c>
      <c r="C46" s="123" t="s">
        <v>153</v>
      </c>
      <c r="D46" s="176">
        <v>7</v>
      </c>
      <c r="E46" s="176">
        <f>6*C5</f>
        <v>27.011400000000002</v>
      </c>
      <c r="F46" s="503">
        <f t="shared" si="4"/>
        <v>189.07980000000001</v>
      </c>
      <c r="G46" s="503">
        <f>F46/C5</f>
        <v>42</v>
      </c>
    </row>
    <row r="47" spans="1:7" ht="18" customHeight="1" x14ac:dyDescent="0.25">
      <c r="A47" s="122">
        <v>6</v>
      </c>
      <c r="B47" s="114" t="s">
        <v>183</v>
      </c>
      <c r="C47" s="123" t="s">
        <v>153</v>
      </c>
      <c r="D47" s="124">
        <v>30</v>
      </c>
      <c r="E47" s="121">
        <f>1.6*C5</f>
        <v>7.2030400000000006</v>
      </c>
      <c r="F47" s="125">
        <f t="shared" si="4"/>
        <v>216.09120000000001</v>
      </c>
      <c r="G47" s="125">
        <f>F47/C5</f>
        <v>48</v>
      </c>
    </row>
    <row r="48" spans="1:7" ht="14.25" customHeight="1" x14ac:dyDescent="0.25">
      <c r="A48" s="122">
        <v>7</v>
      </c>
      <c r="B48" s="114" t="s">
        <v>184</v>
      </c>
      <c r="C48" s="123" t="s">
        <v>153</v>
      </c>
      <c r="D48" s="124">
        <v>10</v>
      </c>
      <c r="E48" s="121">
        <f>0.25*C5</f>
        <v>1.125475</v>
      </c>
      <c r="F48" s="125">
        <f t="shared" si="4"/>
        <v>11.25475</v>
      </c>
      <c r="G48" s="125">
        <f>F48/C5</f>
        <v>2.5</v>
      </c>
    </row>
    <row r="49" spans="1:7" ht="14.25" customHeight="1" x14ac:dyDescent="0.25">
      <c r="A49" s="122">
        <v>8</v>
      </c>
      <c r="B49" s="114" t="s">
        <v>241</v>
      </c>
      <c r="C49" s="123" t="s">
        <v>147</v>
      </c>
      <c r="D49" s="124">
        <v>230</v>
      </c>
      <c r="E49" s="121">
        <f>1*C5</f>
        <v>4.5019</v>
      </c>
      <c r="F49" s="125">
        <f t="shared" si="4"/>
        <v>1035.4369999999999</v>
      </c>
      <c r="G49" s="125">
        <f>F49/C5</f>
        <v>229.99999999999997</v>
      </c>
    </row>
    <row r="50" spans="1:7" ht="15" customHeight="1" x14ac:dyDescent="0.25">
      <c r="A50" s="122">
        <v>9</v>
      </c>
      <c r="B50" s="114" t="s">
        <v>242</v>
      </c>
      <c r="C50" s="123" t="s">
        <v>243</v>
      </c>
      <c r="D50" s="124">
        <v>145</v>
      </c>
      <c r="E50" s="121">
        <f>1*C5</f>
        <v>4.5019</v>
      </c>
      <c r="F50" s="125">
        <f t="shared" si="4"/>
        <v>652.77549999999997</v>
      </c>
      <c r="G50" s="125">
        <f>F50/C5</f>
        <v>145</v>
      </c>
    </row>
    <row r="51" spans="1:7" ht="15" customHeight="1" x14ac:dyDescent="0.25">
      <c r="A51" s="118">
        <v>6</v>
      </c>
      <c r="B51" s="103" t="s">
        <v>244</v>
      </c>
      <c r="C51" s="119"/>
      <c r="D51" s="120"/>
      <c r="E51" s="121"/>
      <c r="F51" s="101">
        <f>F52</f>
        <v>29712.54</v>
      </c>
      <c r="G51" s="101">
        <f>G52</f>
        <v>6600</v>
      </c>
    </row>
    <row r="52" spans="1:7" ht="15" customHeight="1" x14ac:dyDescent="0.25">
      <c r="A52" s="127"/>
      <c r="B52" s="128" t="s">
        <v>245</v>
      </c>
      <c r="C52" s="129" t="s">
        <v>153</v>
      </c>
      <c r="D52" s="130">
        <v>20</v>
      </c>
      <c r="E52" s="131">
        <f>330*C5</f>
        <v>1485.627</v>
      </c>
      <c r="F52" s="125">
        <f t="shared" si="4"/>
        <v>29712.54</v>
      </c>
      <c r="G52" s="125">
        <f>F52/C5</f>
        <v>6600</v>
      </c>
    </row>
    <row r="53" spans="1:7" ht="15.75" customHeight="1" thickBot="1" x14ac:dyDescent="0.3">
      <c r="A53" s="142"/>
      <c r="B53" s="143" t="s">
        <v>246</v>
      </c>
      <c r="C53" s="144"/>
      <c r="D53" s="144"/>
      <c r="E53" s="145"/>
      <c r="F53" s="146">
        <f>F8+F26+F41+F51</f>
        <v>656758.46643999999</v>
      </c>
      <c r="G53" s="146">
        <f>G8+G26+G41+G51</f>
        <v>145884.73010062421</v>
      </c>
    </row>
    <row r="54" spans="1:7" x14ac:dyDescent="0.25">
      <c r="A54" s="68"/>
      <c r="B54" s="133"/>
      <c r="C54" s="68"/>
      <c r="D54" s="68"/>
      <c r="E54" s="68"/>
      <c r="F54" s="134"/>
      <c r="G54" s="134"/>
    </row>
    <row r="55" spans="1:7" x14ac:dyDescent="0.25">
      <c r="A55" s="68"/>
      <c r="B55" s="84"/>
      <c r="C55" s="68"/>
      <c r="D55" s="68"/>
      <c r="E55" s="68"/>
      <c r="F55" s="134"/>
      <c r="G55" s="134"/>
    </row>
    <row r="56" spans="1:7" x14ac:dyDescent="0.25">
      <c r="A56" s="68"/>
      <c r="B56" s="133"/>
      <c r="C56" s="68"/>
      <c r="D56" s="68"/>
      <c r="E56" s="68"/>
      <c r="F56" s="134"/>
      <c r="G56" s="134"/>
    </row>
    <row r="57" spans="1:7" x14ac:dyDescent="0.25">
      <c r="A57" s="135"/>
      <c r="B57" s="526" t="s">
        <v>194</v>
      </c>
    </row>
    <row r="58" spans="1:7" x14ac:dyDescent="0.25">
      <c r="A58" s="135"/>
      <c r="B58" s="527" t="s">
        <v>195</v>
      </c>
      <c r="C58" s="138"/>
      <c r="D58" s="139"/>
    </row>
  </sheetData>
  <mergeCells count="2">
    <mergeCell ref="A4:F4"/>
    <mergeCell ref="B27:C27"/>
  </mergeCells>
  <pageMargins left="0.7" right="0.7" top="0.75" bottom="0.75" header="0.3" footer="0.3"/>
  <pageSetup paperSize="9" scale="85" orientation="portrait" r:id="rId1"/>
  <rowBreaks count="1" manualBreakCount="1">
    <brk id="5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opLeftCell="A85" zoomScaleNormal="100" workbookViewId="0">
      <selection activeCell="F99" sqref="A1:F99"/>
    </sheetView>
  </sheetViews>
  <sheetFormatPr defaultRowHeight="15.75" x14ac:dyDescent="0.25"/>
  <cols>
    <col min="1" max="1" width="5.28515625" style="85" customWidth="1"/>
    <col min="2" max="2" width="48.140625" style="85" customWidth="1"/>
    <col min="3" max="3" width="8.5703125" style="85" customWidth="1"/>
    <col min="4" max="4" width="9.42578125" style="85" customWidth="1"/>
    <col min="5" max="5" width="11.85546875" style="85" customWidth="1"/>
    <col min="6" max="6" width="11.42578125" style="85" customWidth="1"/>
    <col min="7" max="7" width="12.28515625" style="85" hidden="1" customWidth="1"/>
    <col min="8" max="256" width="9.140625" style="85"/>
    <col min="257" max="257" width="5.28515625" style="85" customWidth="1"/>
    <col min="258" max="258" width="48.140625" style="85" customWidth="1"/>
    <col min="259" max="259" width="5.140625" style="85" customWidth="1"/>
    <col min="260" max="260" width="9.42578125" style="85" customWidth="1"/>
    <col min="261" max="261" width="7.28515625" style="85" customWidth="1"/>
    <col min="262" max="262" width="11.42578125" style="85" customWidth="1"/>
    <col min="263" max="512" width="9.140625" style="85"/>
    <col min="513" max="513" width="5.28515625" style="85" customWidth="1"/>
    <col min="514" max="514" width="48.140625" style="85" customWidth="1"/>
    <col min="515" max="515" width="5.140625" style="85" customWidth="1"/>
    <col min="516" max="516" width="9.42578125" style="85" customWidth="1"/>
    <col min="517" max="517" width="7.28515625" style="85" customWidth="1"/>
    <col min="518" max="518" width="11.42578125" style="85" customWidth="1"/>
    <col min="519" max="768" width="9.140625" style="85"/>
    <col min="769" max="769" width="5.28515625" style="85" customWidth="1"/>
    <col min="770" max="770" width="48.140625" style="85" customWidth="1"/>
    <col min="771" max="771" width="5.140625" style="85" customWidth="1"/>
    <col min="772" max="772" width="9.42578125" style="85" customWidth="1"/>
    <col min="773" max="773" width="7.28515625" style="85" customWidth="1"/>
    <col min="774" max="774" width="11.42578125" style="85" customWidth="1"/>
    <col min="775" max="1024" width="9.140625" style="85"/>
    <col min="1025" max="1025" width="5.28515625" style="85" customWidth="1"/>
    <col min="1026" max="1026" width="48.140625" style="85" customWidth="1"/>
    <col min="1027" max="1027" width="5.140625" style="85" customWidth="1"/>
    <col min="1028" max="1028" width="9.42578125" style="85" customWidth="1"/>
    <col min="1029" max="1029" width="7.28515625" style="85" customWidth="1"/>
    <col min="1030" max="1030" width="11.42578125" style="85" customWidth="1"/>
    <col min="1031" max="1280" width="9.140625" style="85"/>
    <col min="1281" max="1281" width="5.28515625" style="85" customWidth="1"/>
    <col min="1282" max="1282" width="48.140625" style="85" customWidth="1"/>
    <col min="1283" max="1283" width="5.140625" style="85" customWidth="1"/>
    <col min="1284" max="1284" width="9.42578125" style="85" customWidth="1"/>
    <col min="1285" max="1285" width="7.28515625" style="85" customWidth="1"/>
    <col min="1286" max="1286" width="11.42578125" style="85" customWidth="1"/>
    <col min="1287" max="1536" width="9.140625" style="85"/>
    <col min="1537" max="1537" width="5.28515625" style="85" customWidth="1"/>
    <col min="1538" max="1538" width="48.140625" style="85" customWidth="1"/>
    <col min="1539" max="1539" width="5.140625" style="85" customWidth="1"/>
    <col min="1540" max="1540" width="9.42578125" style="85" customWidth="1"/>
    <col min="1541" max="1541" width="7.28515625" style="85" customWidth="1"/>
    <col min="1542" max="1542" width="11.42578125" style="85" customWidth="1"/>
    <col min="1543" max="1792" width="9.140625" style="85"/>
    <col min="1793" max="1793" width="5.28515625" style="85" customWidth="1"/>
    <col min="1794" max="1794" width="48.140625" style="85" customWidth="1"/>
    <col min="1795" max="1795" width="5.140625" style="85" customWidth="1"/>
    <col min="1796" max="1796" width="9.42578125" style="85" customWidth="1"/>
    <col min="1797" max="1797" width="7.28515625" style="85" customWidth="1"/>
    <col min="1798" max="1798" width="11.42578125" style="85" customWidth="1"/>
    <col min="1799" max="2048" width="9.140625" style="85"/>
    <col min="2049" max="2049" width="5.28515625" style="85" customWidth="1"/>
    <col min="2050" max="2050" width="48.140625" style="85" customWidth="1"/>
    <col min="2051" max="2051" width="5.140625" style="85" customWidth="1"/>
    <col min="2052" max="2052" width="9.42578125" style="85" customWidth="1"/>
    <col min="2053" max="2053" width="7.28515625" style="85" customWidth="1"/>
    <col min="2054" max="2054" width="11.42578125" style="85" customWidth="1"/>
    <col min="2055" max="2304" width="9.140625" style="85"/>
    <col min="2305" max="2305" width="5.28515625" style="85" customWidth="1"/>
    <col min="2306" max="2306" width="48.140625" style="85" customWidth="1"/>
    <col min="2307" max="2307" width="5.140625" style="85" customWidth="1"/>
    <col min="2308" max="2308" width="9.42578125" style="85" customWidth="1"/>
    <col min="2309" max="2309" width="7.28515625" style="85" customWidth="1"/>
    <col min="2310" max="2310" width="11.42578125" style="85" customWidth="1"/>
    <col min="2311" max="2560" width="9.140625" style="85"/>
    <col min="2561" max="2561" width="5.28515625" style="85" customWidth="1"/>
    <col min="2562" max="2562" width="48.140625" style="85" customWidth="1"/>
    <col min="2563" max="2563" width="5.140625" style="85" customWidth="1"/>
    <col min="2564" max="2564" width="9.42578125" style="85" customWidth="1"/>
    <col min="2565" max="2565" width="7.28515625" style="85" customWidth="1"/>
    <col min="2566" max="2566" width="11.42578125" style="85" customWidth="1"/>
    <col min="2567" max="2816" width="9.140625" style="85"/>
    <col min="2817" max="2817" width="5.28515625" style="85" customWidth="1"/>
    <col min="2818" max="2818" width="48.140625" style="85" customWidth="1"/>
    <col min="2819" max="2819" width="5.140625" style="85" customWidth="1"/>
    <col min="2820" max="2820" width="9.42578125" style="85" customWidth="1"/>
    <col min="2821" max="2821" width="7.28515625" style="85" customWidth="1"/>
    <col min="2822" max="2822" width="11.42578125" style="85" customWidth="1"/>
    <col min="2823" max="3072" width="9.140625" style="85"/>
    <col min="3073" max="3073" width="5.28515625" style="85" customWidth="1"/>
    <col min="3074" max="3074" width="48.140625" style="85" customWidth="1"/>
    <col min="3075" max="3075" width="5.140625" style="85" customWidth="1"/>
    <col min="3076" max="3076" width="9.42578125" style="85" customWidth="1"/>
    <col min="3077" max="3077" width="7.28515625" style="85" customWidth="1"/>
    <col min="3078" max="3078" width="11.42578125" style="85" customWidth="1"/>
    <col min="3079" max="3328" width="9.140625" style="85"/>
    <col min="3329" max="3329" width="5.28515625" style="85" customWidth="1"/>
    <col min="3330" max="3330" width="48.140625" style="85" customWidth="1"/>
    <col min="3331" max="3331" width="5.140625" style="85" customWidth="1"/>
    <col min="3332" max="3332" width="9.42578125" style="85" customWidth="1"/>
    <col min="3333" max="3333" width="7.28515625" style="85" customWidth="1"/>
    <col min="3334" max="3334" width="11.42578125" style="85" customWidth="1"/>
    <col min="3335" max="3584" width="9.140625" style="85"/>
    <col min="3585" max="3585" width="5.28515625" style="85" customWidth="1"/>
    <col min="3586" max="3586" width="48.140625" style="85" customWidth="1"/>
    <col min="3587" max="3587" width="5.140625" style="85" customWidth="1"/>
    <col min="3588" max="3588" width="9.42578125" style="85" customWidth="1"/>
    <col min="3589" max="3589" width="7.28515625" style="85" customWidth="1"/>
    <col min="3590" max="3590" width="11.42578125" style="85" customWidth="1"/>
    <col min="3591" max="3840" width="9.140625" style="85"/>
    <col min="3841" max="3841" width="5.28515625" style="85" customWidth="1"/>
    <col min="3842" max="3842" width="48.140625" style="85" customWidth="1"/>
    <col min="3843" max="3843" width="5.140625" style="85" customWidth="1"/>
    <col min="3844" max="3844" width="9.42578125" style="85" customWidth="1"/>
    <col min="3845" max="3845" width="7.28515625" style="85" customWidth="1"/>
    <col min="3846" max="3846" width="11.42578125" style="85" customWidth="1"/>
    <col min="3847" max="4096" width="9.140625" style="85"/>
    <col min="4097" max="4097" width="5.28515625" style="85" customWidth="1"/>
    <col min="4098" max="4098" width="48.140625" style="85" customWidth="1"/>
    <col min="4099" max="4099" width="5.140625" style="85" customWidth="1"/>
    <col min="4100" max="4100" width="9.42578125" style="85" customWidth="1"/>
    <col min="4101" max="4101" width="7.28515625" style="85" customWidth="1"/>
    <col min="4102" max="4102" width="11.42578125" style="85" customWidth="1"/>
    <col min="4103" max="4352" width="9.140625" style="85"/>
    <col min="4353" max="4353" width="5.28515625" style="85" customWidth="1"/>
    <col min="4354" max="4354" width="48.140625" style="85" customWidth="1"/>
    <col min="4355" max="4355" width="5.140625" style="85" customWidth="1"/>
    <col min="4356" max="4356" width="9.42578125" style="85" customWidth="1"/>
    <col min="4357" max="4357" width="7.28515625" style="85" customWidth="1"/>
    <col min="4358" max="4358" width="11.42578125" style="85" customWidth="1"/>
    <col min="4359" max="4608" width="9.140625" style="85"/>
    <col min="4609" max="4609" width="5.28515625" style="85" customWidth="1"/>
    <col min="4610" max="4610" width="48.140625" style="85" customWidth="1"/>
    <col min="4611" max="4611" width="5.140625" style="85" customWidth="1"/>
    <col min="4612" max="4612" width="9.42578125" style="85" customWidth="1"/>
    <col min="4613" max="4613" width="7.28515625" style="85" customWidth="1"/>
    <col min="4614" max="4614" width="11.42578125" style="85" customWidth="1"/>
    <col min="4615" max="4864" width="9.140625" style="85"/>
    <col min="4865" max="4865" width="5.28515625" style="85" customWidth="1"/>
    <col min="4866" max="4866" width="48.140625" style="85" customWidth="1"/>
    <col min="4867" max="4867" width="5.140625" style="85" customWidth="1"/>
    <col min="4868" max="4868" width="9.42578125" style="85" customWidth="1"/>
    <col min="4869" max="4869" width="7.28515625" style="85" customWidth="1"/>
    <col min="4870" max="4870" width="11.42578125" style="85" customWidth="1"/>
    <col min="4871" max="5120" width="9.140625" style="85"/>
    <col min="5121" max="5121" width="5.28515625" style="85" customWidth="1"/>
    <col min="5122" max="5122" width="48.140625" style="85" customWidth="1"/>
    <col min="5123" max="5123" width="5.140625" style="85" customWidth="1"/>
    <col min="5124" max="5124" width="9.42578125" style="85" customWidth="1"/>
    <col min="5125" max="5125" width="7.28515625" style="85" customWidth="1"/>
    <col min="5126" max="5126" width="11.42578125" style="85" customWidth="1"/>
    <col min="5127" max="5376" width="9.140625" style="85"/>
    <col min="5377" max="5377" width="5.28515625" style="85" customWidth="1"/>
    <col min="5378" max="5378" width="48.140625" style="85" customWidth="1"/>
    <col min="5379" max="5379" width="5.140625" style="85" customWidth="1"/>
    <col min="5380" max="5380" width="9.42578125" style="85" customWidth="1"/>
    <col min="5381" max="5381" width="7.28515625" style="85" customWidth="1"/>
    <col min="5382" max="5382" width="11.42578125" style="85" customWidth="1"/>
    <col min="5383" max="5632" width="9.140625" style="85"/>
    <col min="5633" max="5633" width="5.28515625" style="85" customWidth="1"/>
    <col min="5634" max="5634" width="48.140625" style="85" customWidth="1"/>
    <col min="5635" max="5635" width="5.140625" style="85" customWidth="1"/>
    <col min="5636" max="5636" width="9.42578125" style="85" customWidth="1"/>
    <col min="5637" max="5637" width="7.28515625" style="85" customWidth="1"/>
    <col min="5638" max="5638" width="11.42578125" style="85" customWidth="1"/>
    <col min="5639" max="5888" width="9.140625" style="85"/>
    <col min="5889" max="5889" width="5.28515625" style="85" customWidth="1"/>
    <col min="5890" max="5890" width="48.140625" style="85" customWidth="1"/>
    <col min="5891" max="5891" width="5.140625" style="85" customWidth="1"/>
    <col min="5892" max="5892" width="9.42578125" style="85" customWidth="1"/>
    <col min="5893" max="5893" width="7.28515625" style="85" customWidth="1"/>
    <col min="5894" max="5894" width="11.42578125" style="85" customWidth="1"/>
    <col min="5895" max="6144" width="9.140625" style="85"/>
    <col min="6145" max="6145" width="5.28515625" style="85" customWidth="1"/>
    <col min="6146" max="6146" width="48.140625" style="85" customWidth="1"/>
    <col min="6147" max="6147" width="5.140625" style="85" customWidth="1"/>
    <col min="6148" max="6148" width="9.42578125" style="85" customWidth="1"/>
    <col min="6149" max="6149" width="7.28515625" style="85" customWidth="1"/>
    <col min="6150" max="6150" width="11.42578125" style="85" customWidth="1"/>
    <col min="6151" max="6400" width="9.140625" style="85"/>
    <col min="6401" max="6401" width="5.28515625" style="85" customWidth="1"/>
    <col min="6402" max="6402" width="48.140625" style="85" customWidth="1"/>
    <col min="6403" max="6403" width="5.140625" style="85" customWidth="1"/>
    <col min="6404" max="6404" width="9.42578125" style="85" customWidth="1"/>
    <col min="6405" max="6405" width="7.28515625" style="85" customWidth="1"/>
    <col min="6406" max="6406" width="11.42578125" style="85" customWidth="1"/>
    <col min="6407" max="6656" width="9.140625" style="85"/>
    <col min="6657" max="6657" width="5.28515625" style="85" customWidth="1"/>
    <col min="6658" max="6658" width="48.140625" style="85" customWidth="1"/>
    <col min="6659" max="6659" width="5.140625" style="85" customWidth="1"/>
    <col min="6660" max="6660" width="9.42578125" style="85" customWidth="1"/>
    <col min="6661" max="6661" width="7.28515625" style="85" customWidth="1"/>
    <col min="6662" max="6662" width="11.42578125" style="85" customWidth="1"/>
    <col min="6663" max="6912" width="9.140625" style="85"/>
    <col min="6913" max="6913" width="5.28515625" style="85" customWidth="1"/>
    <col min="6914" max="6914" width="48.140625" style="85" customWidth="1"/>
    <col min="6915" max="6915" width="5.140625" style="85" customWidth="1"/>
    <col min="6916" max="6916" width="9.42578125" style="85" customWidth="1"/>
    <col min="6917" max="6917" width="7.28515625" style="85" customWidth="1"/>
    <col min="6918" max="6918" width="11.42578125" style="85" customWidth="1"/>
    <col min="6919" max="7168" width="9.140625" style="85"/>
    <col min="7169" max="7169" width="5.28515625" style="85" customWidth="1"/>
    <col min="7170" max="7170" width="48.140625" style="85" customWidth="1"/>
    <col min="7171" max="7171" width="5.140625" style="85" customWidth="1"/>
    <col min="7172" max="7172" width="9.42578125" style="85" customWidth="1"/>
    <col min="7173" max="7173" width="7.28515625" style="85" customWidth="1"/>
    <col min="7174" max="7174" width="11.42578125" style="85" customWidth="1"/>
    <col min="7175" max="7424" width="9.140625" style="85"/>
    <col min="7425" max="7425" width="5.28515625" style="85" customWidth="1"/>
    <col min="7426" max="7426" width="48.140625" style="85" customWidth="1"/>
    <col min="7427" max="7427" width="5.140625" style="85" customWidth="1"/>
    <col min="7428" max="7428" width="9.42578125" style="85" customWidth="1"/>
    <col min="7429" max="7429" width="7.28515625" style="85" customWidth="1"/>
    <col min="7430" max="7430" width="11.42578125" style="85" customWidth="1"/>
    <col min="7431" max="7680" width="9.140625" style="85"/>
    <col min="7681" max="7681" width="5.28515625" style="85" customWidth="1"/>
    <col min="7682" max="7682" width="48.140625" style="85" customWidth="1"/>
    <col min="7683" max="7683" width="5.140625" style="85" customWidth="1"/>
    <col min="7684" max="7684" width="9.42578125" style="85" customWidth="1"/>
    <col min="7685" max="7685" width="7.28515625" style="85" customWidth="1"/>
    <col min="7686" max="7686" width="11.42578125" style="85" customWidth="1"/>
    <col min="7687" max="7936" width="9.140625" style="85"/>
    <col min="7937" max="7937" width="5.28515625" style="85" customWidth="1"/>
    <col min="7938" max="7938" width="48.140625" style="85" customWidth="1"/>
    <col min="7939" max="7939" width="5.140625" style="85" customWidth="1"/>
    <col min="7940" max="7940" width="9.42578125" style="85" customWidth="1"/>
    <col min="7941" max="7941" width="7.28515625" style="85" customWidth="1"/>
    <col min="7942" max="7942" width="11.42578125" style="85" customWidth="1"/>
    <col min="7943" max="8192" width="9.140625" style="85"/>
    <col min="8193" max="8193" width="5.28515625" style="85" customWidth="1"/>
    <col min="8194" max="8194" width="48.140625" style="85" customWidth="1"/>
    <col min="8195" max="8195" width="5.140625" style="85" customWidth="1"/>
    <col min="8196" max="8196" width="9.42578125" style="85" customWidth="1"/>
    <col min="8197" max="8197" width="7.28515625" style="85" customWidth="1"/>
    <col min="8198" max="8198" width="11.42578125" style="85" customWidth="1"/>
    <col min="8199" max="8448" width="9.140625" style="85"/>
    <col min="8449" max="8449" width="5.28515625" style="85" customWidth="1"/>
    <col min="8450" max="8450" width="48.140625" style="85" customWidth="1"/>
    <col min="8451" max="8451" width="5.140625" style="85" customWidth="1"/>
    <col min="8452" max="8452" width="9.42578125" style="85" customWidth="1"/>
    <col min="8453" max="8453" width="7.28515625" style="85" customWidth="1"/>
    <col min="8454" max="8454" width="11.42578125" style="85" customWidth="1"/>
    <col min="8455" max="8704" width="9.140625" style="85"/>
    <col min="8705" max="8705" width="5.28515625" style="85" customWidth="1"/>
    <col min="8706" max="8706" width="48.140625" style="85" customWidth="1"/>
    <col min="8707" max="8707" width="5.140625" style="85" customWidth="1"/>
    <col min="8708" max="8708" width="9.42578125" style="85" customWidth="1"/>
    <col min="8709" max="8709" width="7.28515625" style="85" customWidth="1"/>
    <col min="8710" max="8710" width="11.42578125" style="85" customWidth="1"/>
    <col min="8711" max="8960" width="9.140625" style="85"/>
    <col min="8961" max="8961" width="5.28515625" style="85" customWidth="1"/>
    <col min="8962" max="8962" width="48.140625" style="85" customWidth="1"/>
    <col min="8963" max="8963" width="5.140625" style="85" customWidth="1"/>
    <col min="8964" max="8964" width="9.42578125" style="85" customWidth="1"/>
    <col min="8965" max="8965" width="7.28515625" style="85" customWidth="1"/>
    <col min="8966" max="8966" width="11.42578125" style="85" customWidth="1"/>
    <col min="8967" max="9216" width="9.140625" style="85"/>
    <col min="9217" max="9217" width="5.28515625" style="85" customWidth="1"/>
    <col min="9218" max="9218" width="48.140625" style="85" customWidth="1"/>
    <col min="9219" max="9219" width="5.140625" style="85" customWidth="1"/>
    <col min="9220" max="9220" width="9.42578125" style="85" customWidth="1"/>
    <col min="9221" max="9221" width="7.28515625" style="85" customWidth="1"/>
    <col min="9222" max="9222" width="11.42578125" style="85" customWidth="1"/>
    <col min="9223" max="9472" width="9.140625" style="85"/>
    <col min="9473" max="9473" width="5.28515625" style="85" customWidth="1"/>
    <col min="9474" max="9474" width="48.140625" style="85" customWidth="1"/>
    <col min="9475" max="9475" width="5.140625" style="85" customWidth="1"/>
    <col min="9476" max="9476" width="9.42578125" style="85" customWidth="1"/>
    <col min="9477" max="9477" width="7.28515625" style="85" customWidth="1"/>
    <col min="9478" max="9478" width="11.42578125" style="85" customWidth="1"/>
    <col min="9479" max="9728" width="9.140625" style="85"/>
    <col min="9729" max="9729" width="5.28515625" style="85" customWidth="1"/>
    <col min="9730" max="9730" width="48.140625" style="85" customWidth="1"/>
    <col min="9731" max="9731" width="5.140625" style="85" customWidth="1"/>
    <col min="9732" max="9732" width="9.42578125" style="85" customWidth="1"/>
    <col min="9733" max="9733" width="7.28515625" style="85" customWidth="1"/>
    <col min="9734" max="9734" width="11.42578125" style="85" customWidth="1"/>
    <col min="9735" max="9984" width="9.140625" style="85"/>
    <col min="9985" max="9985" width="5.28515625" style="85" customWidth="1"/>
    <col min="9986" max="9986" width="48.140625" style="85" customWidth="1"/>
    <col min="9987" max="9987" width="5.140625" style="85" customWidth="1"/>
    <col min="9988" max="9988" width="9.42578125" style="85" customWidth="1"/>
    <col min="9989" max="9989" width="7.28515625" style="85" customWidth="1"/>
    <col min="9990" max="9990" width="11.42578125" style="85" customWidth="1"/>
    <col min="9991" max="10240" width="9.140625" style="85"/>
    <col min="10241" max="10241" width="5.28515625" style="85" customWidth="1"/>
    <col min="10242" max="10242" width="48.140625" style="85" customWidth="1"/>
    <col min="10243" max="10243" width="5.140625" style="85" customWidth="1"/>
    <col min="10244" max="10244" width="9.42578125" style="85" customWidth="1"/>
    <col min="10245" max="10245" width="7.28515625" style="85" customWidth="1"/>
    <col min="10246" max="10246" width="11.42578125" style="85" customWidth="1"/>
    <col min="10247" max="10496" width="9.140625" style="85"/>
    <col min="10497" max="10497" width="5.28515625" style="85" customWidth="1"/>
    <col min="10498" max="10498" width="48.140625" style="85" customWidth="1"/>
    <col min="10499" max="10499" width="5.140625" style="85" customWidth="1"/>
    <col min="10500" max="10500" width="9.42578125" style="85" customWidth="1"/>
    <col min="10501" max="10501" width="7.28515625" style="85" customWidth="1"/>
    <col min="10502" max="10502" width="11.42578125" style="85" customWidth="1"/>
    <col min="10503" max="10752" width="9.140625" style="85"/>
    <col min="10753" max="10753" width="5.28515625" style="85" customWidth="1"/>
    <col min="10754" max="10754" width="48.140625" style="85" customWidth="1"/>
    <col min="10755" max="10755" width="5.140625" style="85" customWidth="1"/>
    <col min="10756" max="10756" width="9.42578125" style="85" customWidth="1"/>
    <col min="10757" max="10757" width="7.28515625" style="85" customWidth="1"/>
    <col min="10758" max="10758" width="11.42578125" style="85" customWidth="1"/>
    <col min="10759" max="11008" width="9.140625" style="85"/>
    <col min="11009" max="11009" width="5.28515625" style="85" customWidth="1"/>
    <col min="11010" max="11010" width="48.140625" style="85" customWidth="1"/>
    <col min="11011" max="11011" width="5.140625" style="85" customWidth="1"/>
    <col min="11012" max="11012" width="9.42578125" style="85" customWidth="1"/>
    <col min="11013" max="11013" width="7.28515625" style="85" customWidth="1"/>
    <col min="11014" max="11014" width="11.42578125" style="85" customWidth="1"/>
    <col min="11015" max="11264" width="9.140625" style="85"/>
    <col min="11265" max="11265" width="5.28515625" style="85" customWidth="1"/>
    <col min="11266" max="11266" width="48.140625" style="85" customWidth="1"/>
    <col min="11267" max="11267" width="5.140625" style="85" customWidth="1"/>
    <col min="11268" max="11268" width="9.42578125" style="85" customWidth="1"/>
    <col min="11269" max="11269" width="7.28515625" style="85" customWidth="1"/>
    <col min="11270" max="11270" width="11.42578125" style="85" customWidth="1"/>
    <col min="11271" max="11520" width="9.140625" style="85"/>
    <col min="11521" max="11521" width="5.28515625" style="85" customWidth="1"/>
    <col min="11522" max="11522" width="48.140625" style="85" customWidth="1"/>
    <col min="11523" max="11523" width="5.140625" style="85" customWidth="1"/>
    <col min="11524" max="11524" width="9.42578125" style="85" customWidth="1"/>
    <col min="11525" max="11525" width="7.28515625" style="85" customWidth="1"/>
    <col min="11526" max="11526" width="11.42578125" style="85" customWidth="1"/>
    <col min="11527" max="11776" width="9.140625" style="85"/>
    <col min="11777" max="11777" width="5.28515625" style="85" customWidth="1"/>
    <col min="11778" max="11778" width="48.140625" style="85" customWidth="1"/>
    <col min="11779" max="11779" width="5.140625" style="85" customWidth="1"/>
    <col min="11780" max="11780" width="9.42578125" style="85" customWidth="1"/>
    <col min="11781" max="11781" width="7.28515625" style="85" customWidth="1"/>
    <col min="11782" max="11782" width="11.42578125" style="85" customWidth="1"/>
    <col min="11783" max="12032" width="9.140625" style="85"/>
    <col min="12033" max="12033" width="5.28515625" style="85" customWidth="1"/>
    <col min="12034" max="12034" width="48.140625" style="85" customWidth="1"/>
    <col min="12035" max="12035" width="5.140625" style="85" customWidth="1"/>
    <col min="12036" max="12036" width="9.42578125" style="85" customWidth="1"/>
    <col min="12037" max="12037" width="7.28515625" style="85" customWidth="1"/>
    <col min="12038" max="12038" width="11.42578125" style="85" customWidth="1"/>
    <col min="12039" max="12288" width="9.140625" style="85"/>
    <col min="12289" max="12289" width="5.28515625" style="85" customWidth="1"/>
    <col min="12290" max="12290" width="48.140625" style="85" customWidth="1"/>
    <col min="12291" max="12291" width="5.140625" style="85" customWidth="1"/>
    <col min="12292" max="12292" width="9.42578125" style="85" customWidth="1"/>
    <col min="12293" max="12293" width="7.28515625" style="85" customWidth="1"/>
    <col min="12294" max="12294" width="11.42578125" style="85" customWidth="1"/>
    <col min="12295" max="12544" width="9.140625" style="85"/>
    <col min="12545" max="12545" width="5.28515625" style="85" customWidth="1"/>
    <col min="12546" max="12546" width="48.140625" style="85" customWidth="1"/>
    <col min="12547" max="12547" width="5.140625" style="85" customWidth="1"/>
    <col min="12548" max="12548" width="9.42578125" style="85" customWidth="1"/>
    <col min="12549" max="12549" width="7.28515625" style="85" customWidth="1"/>
    <col min="12550" max="12550" width="11.42578125" style="85" customWidth="1"/>
    <col min="12551" max="12800" width="9.140625" style="85"/>
    <col min="12801" max="12801" width="5.28515625" style="85" customWidth="1"/>
    <col min="12802" max="12802" width="48.140625" style="85" customWidth="1"/>
    <col min="12803" max="12803" width="5.140625" style="85" customWidth="1"/>
    <col min="12804" max="12804" width="9.42578125" style="85" customWidth="1"/>
    <col min="12805" max="12805" width="7.28515625" style="85" customWidth="1"/>
    <col min="12806" max="12806" width="11.42578125" style="85" customWidth="1"/>
    <col min="12807" max="13056" width="9.140625" style="85"/>
    <col min="13057" max="13057" width="5.28515625" style="85" customWidth="1"/>
    <col min="13058" max="13058" width="48.140625" style="85" customWidth="1"/>
    <col min="13059" max="13059" width="5.140625" style="85" customWidth="1"/>
    <col min="13060" max="13060" width="9.42578125" style="85" customWidth="1"/>
    <col min="13061" max="13061" width="7.28515625" style="85" customWidth="1"/>
    <col min="13062" max="13062" width="11.42578125" style="85" customWidth="1"/>
    <col min="13063" max="13312" width="9.140625" style="85"/>
    <col min="13313" max="13313" width="5.28515625" style="85" customWidth="1"/>
    <col min="13314" max="13314" width="48.140625" style="85" customWidth="1"/>
    <col min="13315" max="13315" width="5.140625" style="85" customWidth="1"/>
    <col min="13316" max="13316" width="9.42578125" style="85" customWidth="1"/>
    <col min="13317" max="13317" width="7.28515625" style="85" customWidth="1"/>
    <col min="13318" max="13318" width="11.42578125" style="85" customWidth="1"/>
    <col min="13319" max="13568" width="9.140625" style="85"/>
    <col min="13569" max="13569" width="5.28515625" style="85" customWidth="1"/>
    <col min="13570" max="13570" width="48.140625" style="85" customWidth="1"/>
    <col min="13571" max="13571" width="5.140625" style="85" customWidth="1"/>
    <col min="13572" max="13572" width="9.42578125" style="85" customWidth="1"/>
    <col min="13573" max="13573" width="7.28515625" style="85" customWidth="1"/>
    <col min="13574" max="13574" width="11.42578125" style="85" customWidth="1"/>
    <col min="13575" max="13824" width="9.140625" style="85"/>
    <col min="13825" max="13825" width="5.28515625" style="85" customWidth="1"/>
    <col min="13826" max="13826" width="48.140625" style="85" customWidth="1"/>
    <col min="13827" max="13827" width="5.140625" style="85" customWidth="1"/>
    <col min="13828" max="13828" width="9.42578125" style="85" customWidth="1"/>
    <col min="13829" max="13829" width="7.28515625" style="85" customWidth="1"/>
    <col min="13830" max="13830" width="11.42578125" style="85" customWidth="1"/>
    <col min="13831" max="14080" width="9.140625" style="85"/>
    <col min="14081" max="14081" width="5.28515625" style="85" customWidth="1"/>
    <col min="14082" max="14082" width="48.140625" style="85" customWidth="1"/>
    <col min="14083" max="14083" width="5.140625" style="85" customWidth="1"/>
    <col min="14084" max="14084" width="9.42578125" style="85" customWidth="1"/>
    <col min="14085" max="14085" width="7.28515625" style="85" customWidth="1"/>
    <col min="14086" max="14086" width="11.42578125" style="85" customWidth="1"/>
    <col min="14087" max="14336" width="9.140625" style="85"/>
    <col min="14337" max="14337" width="5.28515625" style="85" customWidth="1"/>
    <col min="14338" max="14338" width="48.140625" style="85" customWidth="1"/>
    <col min="14339" max="14339" width="5.140625" style="85" customWidth="1"/>
    <col min="14340" max="14340" width="9.42578125" style="85" customWidth="1"/>
    <col min="14341" max="14341" width="7.28515625" style="85" customWidth="1"/>
    <col min="14342" max="14342" width="11.42578125" style="85" customWidth="1"/>
    <col min="14343" max="14592" width="9.140625" style="85"/>
    <col min="14593" max="14593" width="5.28515625" style="85" customWidth="1"/>
    <col min="14594" max="14594" width="48.140625" style="85" customWidth="1"/>
    <col min="14595" max="14595" width="5.140625" style="85" customWidth="1"/>
    <col min="14596" max="14596" width="9.42578125" style="85" customWidth="1"/>
    <col min="14597" max="14597" width="7.28515625" style="85" customWidth="1"/>
    <col min="14598" max="14598" width="11.42578125" style="85" customWidth="1"/>
    <col min="14599" max="14848" width="9.140625" style="85"/>
    <col min="14849" max="14849" width="5.28515625" style="85" customWidth="1"/>
    <col min="14850" max="14850" width="48.140625" style="85" customWidth="1"/>
    <col min="14851" max="14851" width="5.140625" style="85" customWidth="1"/>
    <col min="14852" max="14852" width="9.42578125" style="85" customWidth="1"/>
    <col min="14853" max="14853" width="7.28515625" style="85" customWidth="1"/>
    <col min="14854" max="14854" width="11.42578125" style="85" customWidth="1"/>
    <col min="14855" max="15104" width="9.140625" style="85"/>
    <col min="15105" max="15105" width="5.28515625" style="85" customWidth="1"/>
    <col min="15106" max="15106" width="48.140625" style="85" customWidth="1"/>
    <col min="15107" max="15107" width="5.140625" style="85" customWidth="1"/>
    <col min="15108" max="15108" width="9.42578125" style="85" customWidth="1"/>
    <col min="15109" max="15109" width="7.28515625" style="85" customWidth="1"/>
    <col min="15110" max="15110" width="11.42578125" style="85" customWidth="1"/>
    <col min="15111" max="15360" width="9.140625" style="85"/>
    <col min="15361" max="15361" width="5.28515625" style="85" customWidth="1"/>
    <col min="15362" max="15362" width="48.140625" style="85" customWidth="1"/>
    <col min="15363" max="15363" width="5.140625" style="85" customWidth="1"/>
    <col min="15364" max="15364" width="9.42578125" style="85" customWidth="1"/>
    <col min="15365" max="15365" width="7.28515625" style="85" customWidth="1"/>
    <col min="15366" max="15366" width="11.42578125" style="85" customWidth="1"/>
    <col min="15367" max="15616" width="9.140625" style="85"/>
    <col min="15617" max="15617" width="5.28515625" style="85" customWidth="1"/>
    <col min="15618" max="15618" width="48.140625" style="85" customWidth="1"/>
    <col min="15619" max="15619" width="5.140625" style="85" customWidth="1"/>
    <col min="15620" max="15620" width="9.42578125" style="85" customWidth="1"/>
    <col min="15621" max="15621" width="7.28515625" style="85" customWidth="1"/>
    <col min="15622" max="15622" width="11.42578125" style="85" customWidth="1"/>
    <col min="15623" max="15872" width="9.140625" style="85"/>
    <col min="15873" max="15873" width="5.28515625" style="85" customWidth="1"/>
    <col min="15874" max="15874" width="48.140625" style="85" customWidth="1"/>
    <col min="15875" max="15875" width="5.140625" style="85" customWidth="1"/>
    <col min="15876" max="15876" width="9.42578125" style="85" customWidth="1"/>
    <col min="15877" max="15877" width="7.28515625" style="85" customWidth="1"/>
    <col min="15878" max="15878" width="11.42578125" style="85" customWidth="1"/>
    <col min="15879" max="16128" width="9.140625" style="85"/>
    <col min="16129" max="16129" width="5.28515625" style="85" customWidth="1"/>
    <col min="16130" max="16130" width="48.140625" style="85" customWidth="1"/>
    <col min="16131" max="16131" width="5.140625" style="85" customWidth="1"/>
    <col min="16132" max="16132" width="9.42578125" style="85" customWidth="1"/>
    <col min="16133" max="16133" width="7.28515625" style="85" customWidth="1"/>
    <col min="16134" max="16134" width="11.42578125" style="85" customWidth="1"/>
    <col min="16135" max="16384" width="9.140625" style="85"/>
  </cols>
  <sheetData>
    <row r="1" spans="1:10" ht="23.25" customHeight="1" x14ac:dyDescent="0.25">
      <c r="B1" s="140" t="s">
        <v>248</v>
      </c>
      <c r="C1" s="141"/>
      <c r="D1" s="141"/>
      <c r="E1" s="141"/>
      <c r="F1" s="141"/>
      <c r="G1" s="141"/>
    </row>
    <row r="2" spans="1:10" ht="15.75" customHeight="1" x14ac:dyDescent="0.25">
      <c r="B2" s="140" t="s">
        <v>29</v>
      </c>
      <c r="C2" s="141"/>
      <c r="D2" s="141"/>
      <c r="E2" s="141"/>
      <c r="F2" s="141"/>
      <c r="G2" s="141"/>
    </row>
    <row r="3" spans="1:10" x14ac:dyDescent="0.25">
      <c r="B3" s="85" t="s">
        <v>196</v>
      </c>
    </row>
    <row r="4" spans="1:10" ht="19.5" thickBot="1" x14ac:dyDescent="0.35">
      <c r="A4" s="740" t="s">
        <v>197</v>
      </c>
      <c r="B4" s="740"/>
      <c r="C4" s="740"/>
      <c r="D4" s="740"/>
      <c r="E4" s="740"/>
      <c r="F4" s="740"/>
    </row>
    <row r="5" spans="1:10" ht="19.5" hidden="1" thickBot="1" x14ac:dyDescent="0.35">
      <c r="A5" s="507"/>
      <c r="B5" s="23" t="s">
        <v>11</v>
      </c>
      <c r="C5" s="10">
        <v>4.5019</v>
      </c>
      <c r="D5" s="504" t="s">
        <v>10</v>
      </c>
      <c r="E5" s="504"/>
      <c r="F5" s="505" t="s">
        <v>671</v>
      </c>
      <c r="G5" s="505"/>
    </row>
    <row r="6" spans="1:10" ht="27" thickBot="1" x14ac:dyDescent="0.3">
      <c r="A6" s="87" t="s">
        <v>0</v>
      </c>
      <c r="B6" s="88" t="s">
        <v>198</v>
      </c>
      <c r="C6" s="88" t="s">
        <v>37</v>
      </c>
      <c r="D6" s="88" t="s">
        <v>199</v>
      </c>
      <c r="E6" s="89" t="s">
        <v>200</v>
      </c>
      <c r="F6" s="147" t="s">
        <v>682</v>
      </c>
      <c r="G6" s="147" t="s">
        <v>201</v>
      </c>
    </row>
    <row r="7" spans="1:10" ht="18.75" customHeight="1" x14ac:dyDescent="0.25">
      <c r="A7" s="148">
        <v>1</v>
      </c>
      <c r="B7" s="149" t="s">
        <v>249</v>
      </c>
      <c r="C7" s="94"/>
      <c r="D7" s="150"/>
      <c r="E7" s="151"/>
      <c r="F7" s="152">
        <f>SUM(F8:F13)</f>
        <v>149688.17499999999</v>
      </c>
      <c r="G7" s="152">
        <f>SUM(G8:G13)</f>
        <v>33250</v>
      </c>
    </row>
    <row r="8" spans="1:10" ht="30" x14ac:dyDescent="0.25">
      <c r="A8" s="153">
        <v>1.1000000000000001</v>
      </c>
      <c r="B8" s="154" t="s">
        <v>250</v>
      </c>
      <c r="C8" s="155" t="s">
        <v>146</v>
      </c>
      <c r="D8" s="156">
        <v>150</v>
      </c>
      <c r="E8" s="126">
        <f>80*C5</f>
        <v>360.15199999999999</v>
      </c>
      <c r="F8" s="125">
        <f t="shared" ref="F8:F13" si="0">D8*E8</f>
        <v>54022.799999999996</v>
      </c>
      <c r="G8" s="125">
        <f>F8/C5</f>
        <v>11999.999999999998</v>
      </c>
    </row>
    <row r="9" spans="1:10" ht="30" x14ac:dyDescent="0.25">
      <c r="A9" s="122">
        <v>1.2</v>
      </c>
      <c r="B9" s="154" t="s">
        <v>251</v>
      </c>
      <c r="C9" s="157" t="s">
        <v>146</v>
      </c>
      <c r="D9" s="106">
        <v>100</v>
      </c>
      <c r="E9" s="126">
        <f>85*C5</f>
        <v>382.66149999999999</v>
      </c>
      <c r="F9" s="125">
        <f t="shared" si="0"/>
        <v>38266.15</v>
      </c>
      <c r="G9" s="125">
        <f>F9/C5</f>
        <v>8500</v>
      </c>
    </row>
    <row r="10" spans="1:10" ht="30" customHeight="1" x14ac:dyDescent="0.25">
      <c r="A10" s="122">
        <v>1.3</v>
      </c>
      <c r="B10" s="114" t="s">
        <v>252</v>
      </c>
      <c r="C10" s="157" t="s">
        <v>153</v>
      </c>
      <c r="D10" s="106">
        <v>225</v>
      </c>
      <c r="E10" s="121">
        <f>10*C5</f>
        <v>45.018999999999998</v>
      </c>
      <c r="F10" s="125">
        <f t="shared" si="0"/>
        <v>10129.275</v>
      </c>
      <c r="G10" s="125">
        <f>F10/C5</f>
        <v>2250</v>
      </c>
    </row>
    <row r="11" spans="1:10" ht="35.25" customHeight="1" x14ac:dyDescent="0.25">
      <c r="A11" s="122">
        <v>1.4</v>
      </c>
      <c r="B11" s="114" t="s">
        <v>253</v>
      </c>
      <c r="C11" s="157" t="s">
        <v>254</v>
      </c>
      <c r="D11" s="106">
        <v>300</v>
      </c>
      <c r="E11" s="121">
        <f>8*C5</f>
        <v>36.0152</v>
      </c>
      <c r="F11" s="125">
        <f t="shared" si="0"/>
        <v>10804.56</v>
      </c>
      <c r="G11" s="125">
        <f>F11/C5</f>
        <v>2400</v>
      </c>
    </row>
    <row r="12" spans="1:10" ht="33.75" customHeight="1" x14ac:dyDescent="0.25">
      <c r="A12" s="122">
        <v>1.5</v>
      </c>
      <c r="B12" s="114" t="s">
        <v>255</v>
      </c>
      <c r="C12" s="157" t="s">
        <v>153</v>
      </c>
      <c r="D12" s="106">
        <v>50</v>
      </c>
      <c r="E12" s="121">
        <f>112*C5</f>
        <v>504.21280000000002</v>
      </c>
      <c r="F12" s="125">
        <f t="shared" si="0"/>
        <v>25210.639999999999</v>
      </c>
      <c r="G12" s="125">
        <f>F12/C5</f>
        <v>5600</v>
      </c>
    </row>
    <row r="13" spans="1:10" x14ac:dyDescent="0.25">
      <c r="A13" s="122">
        <v>1.6</v>
      </c>
      <c r="B13" s="114" t="s">
        <v>256</v>
      </c>
      <c r="C13" s="157" t="s">
        <v>243</v>
      </c>
      <c r="D13" s="106">
        <v>2500</v>
      </c>
      <c r="E13" s="121">
        <f>1*C5</f>
        <v>4.5019</v>
      </c>
      <c r="F13" s="125">
        <f t="shared" si="0"/>
        <v>11254.75</v>
      </c>
      <c r="G13" s="125">
        <f>F13/C5</f>
        <v>2500</v>
      </c>
    </row>
    <row r="14" spans="1:10" x14ac:dyDescent="0.25">
      <c r="A14" s="122"/>
      <c r="B14" s="114"/>
      <c r="C14" s="157"/>
      <c r="D14" s="106"/>
      <c r="E14" s="121"/>
      <c r="F14" s="125"/>
      <c r="G14" s="125"/>
    </row>
    <row r="15" spans="1:10" ht="18" customHeight="1" x14ac:dyDescent="0.25">
      <c r="A15" s="158">
        <v>2</v>
      </c>
      <c r="B15" s="103" t="s">
        <v>257</v>
      </c>
      <c r="C15" s="157"/>
      <c r="D15" s="106"/>
      <c r="E15" s="121"/>
      <c r="F15" s="101">
        <f>SUM(F16:F32)</f>
        <v>97103.732049999977</v>
      </c>
      <c r="G15" s="101">
        <f>SUM(G16:G32)</f>
        <v>21569.5</v>
      </c>
      <c r="J15" s="85">
        <f>F15/C5</f>
        <v>21569.499999999996</v>
      </c>
    </row>
    <row r="16" spans="1:10" ht="27" customHeight="1" x14ac:dyDescent="0.25">
      <c r="A16" s="122">
        <v>2.1</v>
      </c>
      <c r="B16" s="114" t="s">
        <v>258</v>
      </c>
      <c r="C16" s="157" t="s">
        <v>153</v>
      </c>
      <c r="D16" s="106">
        <v>660</v>
      </c>
      <c r="E16" s="121">
        <f>3*C5</f>
        <v>13.505700000000001</v>
      </c>
      <c r="F16" s="125">
        <f t="shared" ref="F16:F32" si="1">D16*E16</f>
        <v>8913.7620000000006</v>
      </c>
      <c r="G16" s="125">
        <f>F16/C5</f>
        <v>1980.0000000000002</v>
      </c>
    </row>
    <row r="17" spans="1:7" ht="78.75" x14ac:dyDescent="0.25">
      <c r="A17" s="122">
        <v>2.2000000000000002</v>
      </c>
      <c r="B17" s="159" t="s">
        <v>259</v>
      </c>
      <c r="C17" s="157" t="s">
        <v>153</v>
      </c>
      <c r="D17" s="106">
        <v>660</v>
      </c>
      <c r="E17" s="121">
        <f>11*C5</f>
        <v>49.520899999999997</v>
      </c>
      <c r="F17" s="125">
        <f t="shared" si="1"/>
        <v>32683.793999999998</v>
      </c>
      <c r="G17" s="125">
        <f>F17/C5</f>
        <v>7260</v>
      </c>
    </row>
    <row r="18" spans="1:7" ht="18.75" customHeight="1" x14ac:dyDescent="0.25">
      <c r="A18" s="160">
        <v>2.2999999999999998</v>
      </c>
      <c r="B18" s="109" t="s">
        <v>260</v>
      </c>
      <c r="C18" s="161" t="s">
        <v>254</v>
      </c>
      <c r="D18" s="106">
        <v>85</v>
      </c>
      <c r="E18" s="121">
        <f>6.5*C5</f>
        <v>29.262350000000001</v>
      </c>
      <c r="F18" s="125">
        <f t="shared" si="1"/>
        <v>2487.2997500000001</v>
      </c>
      <c r="G18" s="125">
        <f>F18/C5</f>
        <v>552.5</v>
      </c>
    </row>
    <row r="19" spans="1:7" x14ac:dyDescent="0.25">
      <c r="A19" s="160">
        <v>2.4</v>
      </c>
      <c r="B19" s="109" t="s">
        <v>261</v>
      </c>
      <c r="C19" s="162" t="s">
        <v>254</v>
      </c>
      <c r="D19" s="106">
        <v>120</v>
      </c>
      <c r="E19" s="121">
        <f>6.5*C5</f>
        <v>29.262350000000001</v>
      </c>
      <c r="F19" s="125">
        <f t="shared" si="1"/>
        <v>3511.482</v>
      </c>
      <c r="G19" s="125">
        <f>F19/C5</f>
        <v>780</v>
      </c>
    </row>
    <row r="20" spans="1:7" ht="31.5" x14ac:dyDescent="0.25">
      <c r="A20" s="160">
        <v>2.5</v>
      </c>
      <c r="B20" s="109" t="s">
        <v>262</v>
      </c>
      <c r="C20" s="162" t="s">
        <v>254</v>
      </c>
      <c r="D20" s="106">
        <v>120</v>
      </c>
      <c r="E20" s="121">
        <f>1.5*C5</f>
        <v>6.7528500000000005</v>
      </c>
      <c r="F20" s="125">
        <f t="shared" si="1"/>
        <v>810.3420000000001</v>
      </c>
      <c r="G20" s="125">
        <f>F20/C5</f>
        <v>180.00000000000003</v>
      </c>
    </row>
    <row r="21" spans="1:7" x14ac:dyDescent="0.25">
      <c r="A21" s="160">
        <v>2.6</v>
      </c>
      <c r="B21" s="109" t="s">
        <v>263</v>
      </c>
      <c r="C21" s="162" t="s">
        <v>254</v>
      </c>
      <c r="D21" s="106">
        <v>50</v>
      </c>
      <c r="E21" s="121">
        <f>1.5*C5</f>
        <v>6.7528500000000005</v>
      </c>
      <c r="F21" s="125">
        <f t="shared" si="1"/>
        <v>337.64250000000004</v>
      </c>
      <c r="G21" s="125">
        <f>F21/C5</f>
        <v>75.000000000000014</v>
      </c>
    </row>
    <row r="22" spans="1:7" x14ac:dyDescent="0.25">
      <c r="A22" s="160">
        <v>2.7</v>
      </c>
      <c r="B22" s="163" t="s">
        <v>264</v>
      </c>
      <c r="C22" s="162" t="s">
        <v>254</v>
      </c>
      <c r="D22" s="106">
        <v>120</v>
      </c>
      <c r="E22" s="121">
        <f>2*C5</f>
        <v>9.0038</v>
      </c>
      <c r="F22" s="125">
        <f t="shared" si="1"/>
        <v>1080.4559999999999</v>
      </c>
      <c r="G22" s="125">
        <f>F22/C5</f>
        <v>239.99999999999997</v>
      </c>
    </row>
    <row r="23" spans="1:7" ht="31.5" x14ac:dyDescent="0.25">
      <c r="A23" s="164" t="s">
        <v>265</v>
      </c>
      <c r="B23" s="109" t="s">
        <v>266</v>
      </c>
      <c r="C23" s="162" t="s">
        <v>153</v>
      </c>
      <c r="D23" s="106">
        <v>550</v>
      </c>
      <c r="E23" s="121">
        <f>10*C5</f>
        <v>45.018999999999998</v>
      </c>
      <c r="F23" s="125">
        <f t="shared" si="1"/>
        <v>24760.45</v>
      </c>
      <c r="G23" s="125">
        <f>F23/C5</f>
        <v>5500</v>
      </c>
    </row>
    <row r="24" spans="1:7" ht="48" customHeight="1" x14ac:dyDescent="0.25">
      <c r="A24" s="164" t="s">
        <v>156</v>
      </c>
      <c r="B24" s="109" t="s">
        <v>267</v>
      </c>
      <c r="C24" s="162" t="s">
        <v>153</v>
      </c>
      <c r="D24" s="106">
        <v>550</v>
      </c>
      <c r="E24" s="121">
        <f>5*C5</f>
        <v>22.509499999999999</v>
      </c>
      <c r="F24" s="125">
        <f t="shared" si="1"/>
        <v>12380.225</v>
      </c>
      <c r="G24" s="125">
        <f>F24/C5</f>
        <v>2750</v>
      </c>
    </row>
    <row r="25" spans="1:7" x14ac:dyDescent="0.25">
      <c r="A25" s="164" t="s">
        <v>158</v>
      </c>
      <c r="B25" s="163" t="s">
        <v>268</v>
      </c>
      <c r="C25" s="162" t="s">
        <v>153</v>
      </c>
      <c r="D25" s="106">
        <v>550</v>
      </c>
      <c r="E25" s="121">
        <f>0.25*C5</f>
        <v>1.125475</v>
      </c>
      <c r="F25" s="125">
        <f t="shared" si="1"/>
        <v>619.01125000000002</v>
      </c>
      <c r="G25" s="125">
        <f>F25/C5</f>
        <v>137.5</v>
      </c>
    </row>
    <row r="26" spans="1:7" x14ac:dyDescent="0.25">
      <c r="A26" s="164" t="s">
        <v>160</v>
      </c>
      <c r="B26" s="163" t="s">
        <v>269</v>
      </c>
      <c r="C26" s="162" t="s">
        <v>153</v>
      </c>
      <c r="D26" s="106">
        <v>550</v>
      </c>
      <c r="E26" s="121">
        <f>0.25*C5</f>
        <v>1.125475</v>
      </c>
      <c r="F26" s="125">
        <f t="shared" si="1"/>
        <v>619.01125000000002</v>
      </c>
      <c r="G26" s="125">
        <f>F26/C5</f>
        <v>137.5</v>
      </c>
    </row>
    <row r="27" spans="1:7" x14ac:dyDescent="0.25">
      <c r="A27" s="165" t="s">
        <v>163</v>
      </c>
      <c r="B27" s="166" t="s">
        <v>270</v>
      </c>
      <c r="C27" s="167" t="s">
        <v>43</v>
      </c>
      <c r="D27" s="168">
        <v>1</v>
      </c>
      <c r="E27" s="169">
        <f>150*C5</f>
        <v>675.28499999999997</v>
      </c>
      <c r="F27" s="170">
        <f t="shared" si="1"/>
        <v>675.28499999999997</v>
      </c>
      <c r="G27" s="170">
        <f>F27/C5</f>
        <v>150</v>
      </c>
    </row>
    <row r="28" spans="1:7" x14ac:dyDescent="0.25">
      <c r="A28" s="171" t="s">
        <v>164</v>
      </c>
      <c r="B28" s="109" t="s">
        <v>271</v>
      </c>
      <c r="C28" s="172" t="s">
        <v>43</v>
      </c>
      <c r="D28" s="106">
        <v>1</v>
      </c>
      <c r="E28" s="121">
        <f>50*C5</f>
        <v>225.095</v>
      </c>
      <c r="F28" s="125">
        <f t="shared" si="1"/>
        <v>225.095</v>
      </c>
      <c r="G28" s="125">
        <f>F28/C5</f>
        <v>50</v>
      </c>
    </row>
    <row r="29" spans="1:7" x14ac:dyDescent="0.25">
      <c r="A29" s="173" t="s">
        <v>272</v>
      </c>
      <c r="B29" s="128" t="s">
        <v>273</v>
      </c>
      <c r="C29" s="150" t="s">
        <v>153</v>
      </c>
      <c r="D29" s="174">
        <v>100</v>
      </c>
      <c r="E29" s="121">
        <f>4*C5</f>
        <v>18.0076</v>
      </c>
      <c r="F29" s="125">
        <f t="shared" si="1"/>
        <v>1800.76</v>
      </c>
      <c r="G29" s="125">
        <f>F29/C5</f>
        <v>400</v>
      </c>
    </row>
    <row r="30" spans="1:7" x14ac:dyDescent="0.25">
      <c r="A30" s="173" t="s">
        <v>274</v>
      </c>
      <c r="B30" s="163" t="s">
        <v>275</v>
      </c>
      <c r="C30" s="175" t="s">
        <v>146</v>
      </c>
      <c r="D30" s="176">
        <v>3</v>
      </c>
      <c r="E30" s="121">
        <f>79*C5</f>
        <v>355.65010000000001</v>
      </c>
      <c r="F30" s="125">
        <f t="shared" ref="F30" si="2">D30*E30</f>
        <v>1066.9503</v>
      </c>
      <c r="G30" s="125">
        <f>F30/C5</f>
        <v>237</v>
      </c>
    </row>
    <row r="31" spans="1:7" x14ac:dyDescent="0.25">
      <c r="A31" s="173" t="s">
        <v>276</v>
      </c>
      <c r="B31" s="177" t="s">
        <v>277</v>
      </c>
      <c r="C31" s="175" t="s">
        <v>43</v>
      </c>
      <c r="D31" s="176">
        <v>8</v>
      </c>
      <c r="E31" s="121">
        <f>80*C5</f>
        <v>360.15199999999999</v>
      </c>
      <c r="F31" s="125">
        <f t="shared" si="1"/>
        <v>2881.2159999999999</v>
      </c>
      <c r="G31" s="125">
        <f>F31/C5</f>
        <v>640</v>
      </c>
    </row>
    <row r="32" spans="1:7" ht="31.5" x14ac:dyDescent="0.25">
      <c r="A32" s="173" t="s">
        <v>278</v>
      </c>
      <c r="B32" s="177" t="s">
        <v>279</v>
      </c>
      <c r="C32" s="175" t="s">
        <v>43</v>
      </c>
      <c r="D32" s="176">
        <v>1</v>
      </c>
      <c r="E32" s="121">
        <f>500*C5</f>
        <v>2250.9499999999998</v>
      </c>
      <c r="F32" s="125">
        <f t="shared" si="1"/>
        <v>2250.9499999999998</v>
      </c>
      <c r="G32" s="125">
        <f>F32/C5</f>
        <v>499.99999999999994</v>
      </c>
    </row>
    <row r="33" spans="1:7" x14ac:dyDescent="0.25">
      <c r="A33" s="173"/>
      <c r="B33" s="177" t="s">
        <v>30</v>
      </c>
      <c r="C33" s="175"/>
      <c r="D33" s="176"/>
      <c r="E33" s="121"/>
      <c r="F33" s="125"/>
      <c r="G33" s="125"/>
    </row>
    <row r="34" spans="1:7" ht="18" customHeight="1" x14ac:dyDescent="0.25">
      <c r="A34" s="158">
        <v>3</v>
      </c>
      <c r="B34" s="103" t="s">
        <v>280</v>
      </c>
      <c r="C34" s="178"/>
      <c r="D34" s="179"/>
      <c r="E34" s="121"/>
      <c r="F34" s="101">
        <f>SUM(F35:F47)</f>
        <v>116977.36959999999</v>
      </c>
      <c r="G34" s="101">
        <f>SUM(G35:G47)</f>
        <v>25984</v>
      </c>
    </row>
    <row r="35" spans="1:7" ht="78.75" x14ac:dyDescent="0.25">
      <c r="A35" s="160">
        <v>3.1</v>
      </c>
      <c r="B35" s="109" t="s">
        <v>281</v>
      </c>
      <c r="C35" s="180" t="s">
        <v>153</v>
      </c>
      <c r="D35" s="176">
        <v>1800</v>
      </c>
      <c r="E35" s="121">
        <f>3*C5</f>
        <v>13.505700000000001</v>
      </c>
      <c r="F35" s="125">
        <f t="shared" ref="F35:F47" si="3">D35*E35</f>
        <v>24310.260000000002</v>
      </c>
      <c r="G35" s="125">
        <f>F35/C5</f>
        <v>5400</v>
      </c>
    </row>
    <row r="36" spans="1:7" ht="47.25" customHeight="1" x14ac:dyDescent="0.25">
      <c r="A36" s="160">
        <v>3.2</v>
      </c>
      <c r="B36" s="114" t="s">
        <v>282</v>
      </c>
      <c r="C36" s="181" t="s">
        <v>153</v>
      </c>
      <c r="D36" s="176">
        <v>150</v>
      </c>
      <c r="E36" s="121">
        <f>4*C5</f>
        <v>18.0076</v>
      </c>
      <c r="F36" s="125">
        <f t="shared" si="3"/>
        <v>2701.14</v>
      </c>
      <c r="G36" s="125">
        <f>F36/C5</f>
        <v>600</v>
      </c>
    </row>
    <row r="37" spans="1:7" ht="33" customHeight="1" x14ac:dyDescent="0.25">
      <c r="A37" s="160">
        <v>3.3</v>
      </c>
      <c r="B37" s="114" t="s">
        <v>283</v>
      </c>
      <c r="C37" s="181" t="s">
        <v>153</v>
      </c>
      <c r="D37" s="176">
        <v>1050</v>
      </c>
      <c r="E37" s="121">
        <f>4*C5</f>
        <v>18.0076</v>
      </c>
      <c r="F37" s="125">
        <f t="shared" si="3"/>
        <v>18907.98</v>
      </c>
      <c r="G37" s="125">
        <f>F37/C5</f>
        <v>4200</v>
      </c>
    </row>
    <row r="38" spans="1:7" x14ac:dyDescent="0.25">
      <c r="A38" s="160">
        <v>3.5</v>
      </c>
      <c r="B38" s="109" t="s">
        <v>284</v>
      </c>
      <c r="C38" s="181" t="s">
        <v>153</v>
      </c>
      <c r="D38" s="176">
        <v>2730</v>
      </c>
      <c r="E38" s="121">
        <f>0.8*C5</f>
        <v>3.6015200000000003</v>
      </c>
      <c r="F38" s="125">
        <f t="shared" si="3"/>
        <v>9832.1496000000006</v>
      </c>
      <c r="G38" s="125">
        <f>F38/C5</f>
        <v>2184</v>
      </c>
    </row>
    <row r="39" spans="1:7" x14ac:dyDescent="0.25">
      <c r="A39" s="160">
        <v>3.6</v>
      </c>
      <c r="B39" s="109" t="s">
        <v>285</v>
      </c>
      <c r="C39" s="181" t="s">
        <v>153</v>
      </c>
      <c r="D39" s="176">
        <v>150</v>
      </c>
      <c r="E39" s="121">
        <f>8*C5</f>
        <v>36.0152</v>
      </c>
      <c r="F39" s="125">
        <f t="shared" si="3"/>
        <v>5402.28</v>
      </c>
      <c r="G39" s="125">
        <f>F39/C5</f>
        <v>1200</v>
      </c>
    </row>
    <row r="40" spans="1:7" ht="31.5" x14ac:dyDescent="0.25">
      <c r="A40" s="160">
        <v>3.7</v>
      </c>
      <c r="B40" s="109" t="s">
        <v>286</v>
      </c>
      <c r="C40" s="181" t="s">
        <v>153</v>
      </c>
      <c r="D40" s="176">
        <v>710</v>
      </c>
      <c r="E40" s="121">
        <f>5*C5</f>
        <v>22.509499999999999</v>
      </c>
      <c r="F40" s="125">
        <f t="shared" si="3"/>
        <v>15981.744999999999</v>
      </c>
      <c r="G40" s="125">
        <f>F40/C5</f>
        <v>3549.9999999999995</v>
      </c>
    </row>
    <row r="41" spans="1:7" x14ac:dyDescent="0.25">
      <c r="A41" s="160">
        <v>3.8</v>
      </c>
      <c r="B41" s="109" t="s">
        <v>287</v>
      </c>
      <c r="C41" s="181" t="s">
        <v>153</v>
      </c>
      <c r="D41" s="176">
        <v>150</v>
      </c>
      <c r="E41" s="121">
        <f>5*C5</f>
        <v>22.509499999999999</v>
      </c>
      <c r="F41" s="125">
        <f t="shared" si="3"/>
        <v>3376.4249999999997</v>
      </c>
      <c r="G41" s="125">
        <f>F41/C5</f>
        <v>749.99999999999989</v>
      </c>
    </row>
    <row r="42" spans="1:7" ht="62.25" customHeight="1" x14ac:dyDescent="0.25">
      <c r="A42" s="160">
        <v>3.9</v>
      </c>
      <c r="B42" s="114" t="s">
        <v>288</v>
      </c>
      <c r="C42" s="181" t="s">
        <v>153</v>
      </c>
      <c r="D42" s="176">
        <v>710</v>
      </c>
      <c r="E42" s="121">
        <f>7*C5</f>
        <v>31.513300000000001</v>
      </c>
      <c r="F42" s="125">
        <f t="shared" si="3"/>
        <v>22374.442999999999</v>
      </c>
      <c r="G42" s="125">
        <f>F42/C5</f>
        <v>4970</v>
      </c>
    </row>
    <row r="43" spans="1:7" ht="31.5" x14ac:dyDescent="0.25">
      <c r="A43" s="164" t="s">
        <v>289</v>
      </c>
      <c r="B43" s="109" t="s">
        <v>290</v>
      </c>
      <c r="C43" s="181" t="s">
        <v>153</v>
      </c>
      <c r="D43" s="176">
        <v>100</v>
      </c>
      <c r="E43" s="121">
        <f>5*C5</f>
        <v>22.509499999999999</v>
      </c>
      <c r="F43" s="125">
        <f t="shared" si="3"/>
        <v>2250.9499999999998</v>
      </c>
      <c r="G43" s="125">
        <f>F43/C5</f>
        <v>499.99999999999994</v>
      </c>
    </row>
    <row r="44" spans="1:7" ht="13.5" customHeight="1" x14ac:dyDescent="0.25">
      <c r="A44" s="164" t="s">
        <v>291</v>
      </c>
      <c r="B44" s="114" t="s">
        <v>292</v>
      </c>
      <c r="C44" s="181" t="s">
        <v>153</v>
      </c>
      <c r="D44" s="176">
        <v>100</v>
      </c>
      <c r="E44" s="121">
        <f>5*C5</f>
        <v>22.509499999999999</v>
      </c>
      <c r="F44" s="125">
        <f t="shared" si="3"/>
        <v>2250.9499999999998</v>
      </c>
      <c r="G44" s="125">
        <f>F44/C5</f>
        <v>499.99999999999994</v>
      </c>
    </row>
    <row r="45" spans="1:7" x14ac:dyDescent="0.25">
      <c r="A45" s="164" t="s">
        <v>293</v>
      </c>
      <c r="B45" s="114" t="s">
        <v>294</v>
      </c>
      <c r="C45" s="181" t="s">
        <v>153</v>
      </c>
      <c r="D45" s="176">
        <v>80</v>
      </c>
      <c r="E45" s="121">
        <f>4*C5</f>
        <v>18.0076</v>
      </c>
      <c r="F45" s="125">
        <f t="shared" si="3"/>
        <v>1440.6079999999999</v>
      </c>
      <c r="G45" s="125">
        <f>F45/C5</f>
        <v>320</v>
      </c>
    </row>
    <row r="46" spans="1:7" ht="31.5" x14ac:dyDescent="0.25">
      <c r="A46" s="164" t="s">
        <v>295</v>
      </c>
      <c r="B46" s="114" t="s">
        <v>296</v>
      </c>
      <c r="C46" s="181" t="s">
        <v>153</v>
      </c>
      <c r="D46" s="176">
        <v>250</v>
      </c>
      <c r="E46" s="121">
        <f>5*C5</f>
        <v>22.509499999999999</v>
      </c>
      <c r="F46" s="125">
        <f t="shared" si="3"/>
        <v>5627.375</v>
      </c>
      <c r="G46" s="125">
        <f>F46/C5</f>
        <v>1250</v>
      </c>
    </row>
    <row r="47" spans="1:7" ht="31.5" x14ac:dyDescent="0.25">
      <c r="A47" s="164" t="s">
        <v>297</v>
      </c>
      <c r="B47" s="182" t="s">
        <v>298</v>
      </c>
      <c r="C47" s="183" t="s">
        <v>153</v>
      </c>
      <c r="D47" s="184">
        <v>100</v>
      </c>
      <c r="E47" s="184">
        <f>5.6*C5</f>
        <v>25.210639999999998</v>
      </c>
      <c r="F47" s="502">
        <f t="shared" si="3"/>
        <v>2521.0639999999999</v>
      </c>
      <c r="G47" s="502">
        <f>F47/C5</f>
        <v>560</v>
      </c>
    </row>
    <row r="48" spans="1:7" x14ac:dyDescent="0.25">
      <c r="A48" s="164"/>
      <c r="B48" s="187"/>
      <c r="C48" s="183"/>
      <c r="D48" s="184"/>
      <c r="E48" s="185"/>
      <c r="F48" s="186"/>
      <c r="G48" s="186"/>
    </row>
    <row r="49" spans="1:7" ht="18" customHeight="1" x14ac:dyDescent="0.25">
      <c r="A49" s="188" t="s">
        <v>228</v>
      </c>
      <c r="B49" s="189" t="s">
        <v>299</v>
      </c>
      <c r="C49" s="178"/>
      <c r="D49" s="176"/>
      <c r="E49" s="121"/>
      <c r="F49" s="101">
        <f>SUM(F50:F60)</f>
        <v>82296.98295000002</v>
      </c>
      <c r="G49" s="101">
        <f>SUM(G50:G60)</f>
        <v>18280.5</v>
      </c>
    </row>
    <row r="50" spans="1:7" ht="37.5" customHeight="1" x14ac:dyDescent="0.25">
      <c r="A50" s="164" t="s">
        <v>300</v>
      </c>
      <c r="B50" s="109" t="s">
        <v>301</v>
      </c>
      <c r="C50" s="181" t="s">
        <v>153</v>
      </c>
      <c r="D50" s="190">
        <v>850</v>
      </c>
      <c r="E50" s="121">
        <f>3*C5</f>
        <v>13.505700000000001</v>
      </c>
      <c r="F50" s="125">
        <f t="shared" ref="F50:F60" si="4">D50*E50</f>
        <v>11479.845000000001</v>
      </c>
      <c r="G50" s="125">
        <f>F50/C5</f>
        <v>2550.0000000000005</v>
      </c>
    </row>
    <row r="51" spans="1:7" ht="31.5" x14ac:dyDescent="0.25">
      <c r="A51" s="164" t="s">
        <v>302</v>
      </c>
      <c r="B51" s="109" t="s">
        <v>303</v>
      </c>
      <c r="C51" s="181" t="s">
        <v>153</v>
      </c>
      <c r="D51" s="190">
        <v>591</v>
      </c>
      <c r="E51" s="121">
        <f>7*C5</f>
        <v>31.513300000000001</v>
      </c>
      <c r="F51" s="125">
        <f t="shared" si="4"/>
        <v>18624.3603</v>
      </c>
      <c r="G51" s="125">
        <f>F51/C5</f>
        <v>4137</v>
      </c>
    </row>
    <row r="52" spans="1:7" ht="45.75" customHeight="1" x14ac:dyDescent="0.25">
      <c r="A52" s="164" t="s">
        <v>304</v>
      </c>
      <c r="B52" s="109" t="s">
        <v>305</v>
      </c>
      <c r="C52" s="181" t="s">
        <v>153</v>
      </c>
      <c r="D52" s="190">
        <v>226</v>
      </c>
      <c r="E52" s="121">
        <f>10*C5</f>
        <v>45.018999999999998</v>
      </c>
      <c r="F52" s="125">
        <f t="shared" si="4"/>
        <v>10174.294</v>
      </c>
      <c r="G52" s="125">
        <f>F52/C5</f>
        <v>2260</v>
      </c>
    </row>
    <row r="53" spans="1:7" ht="38.25" customHeight="1" x14ac:dyDescent="0.25">
      <c r="A53" s="164" t="s">
        <v>306</v>
      </c>
      <c r="B53" s="109" t="s">
        <v>307</v>
      </c>
      <c r="C53" s="181" t="s">
        <v>153</v>
      </c>
      <c r="D53" s="190">
        <v>33</v>
      </c>
      <c r="E53" s="121">
        <f>10*C5</f>
        <v>45.018999999999998</v>
      </c>
      <c r="F53" s="125">
        <f t="shared" si="4"/>
        <v>1485.627</v>
      </c>
      <c r="G53" s="125">
        <f>F53/C5</f>
        <v>330</v>
      </c>
    </row>
    <row r="54" spans="1:7" x14ac:dyDescent="0.25">
      <c r="A54" s="164" t="s">
        <v>306</v>
      </c>
      <c r="B54" s="109" t="s">
        <v>308</v>
      </c>
      <c r="C54" s="181" t="s">
        <v>153</v>
      </c>
      <c r="D54" s="190">
        <v>817</v>
      </c>
      <c r="E54" s="121">
        <f>2.5*C5</f>
        <v>11.25475</v>
      </c>
      <c r="F54" s="125">
        <f t="shared" si="4"/>
        <v>9195.1307500000003</v>
      </c>
      <c r="G54" s="125">
        <f>F54/C5</f>
        <v>2042.5</v>
      </c>
    </row>
    <row r="55" spans="1:7" ht="31.5" x14ac:dyDescent="0.25">
      <c r="A55" s="164" t="s">
        <v>309</v>
      </c>
      <c r="B55" s="109" t="s">
        <v>310</v>
      </c>
      <c r="C55" s="181" t="s">
        <v>153</v>
      </c>
      <c r="D55" s="190">
        <v>270</v>
      </c>
      <c r="E55" s="121">
        <f>9*C5</f>
        <v>40.517099999999999</v>
      </c>
      <c r="F55" s="125">
        <f t="shared" si="4"/>
        <v>10939.617</v>
      </c>
      <c r="G55" s="125">
        <f>F55/C5</f>
        <v>2430</v>
      </c>
    </row>
    <row r="56" spans="1:7" x14ac:dyDescent="0.25">
      <c r="A56" s="164" t="s">
        <v>311</v>
      </c>
      <c r="B56" s="114" t="s">
        <v>312</v>
      </c>
      <c r="C56" s="181" t="s">
        <v>153</v>
      </c>
      <c r="D56" s="190">
        <v>17.5</v>
      </c>
      <c r="E56" s="121">
        <f>6*C5</f>
        <v>27.011400000000002</v>
      </c>
      <c r="F56" s="125">
        <f t="shared" si="4"/>
        <v>472.69950000000006</v>
      </c>
      <c r="G56" s="125">
        <f>F56/C5</f>
        <v>105.00000000000001</v>
      </c>
    </row>
    <row r="57" spans="1:7" ht="31.5" x14ac:dyDescent="0.25">
      <c r="A57" s="164" t="s">
        <v>313</v>
      </c>
      <c r="B57" s="109" t="s">
        <v>314</v>
      </c>
      <c r="C57" s="181" t="s">
        <v>153</v>
      </c>
      <c r="D57" s="190">
        <v>416</v>
      </c>
      <c r="E57" s="121">
        <f>5*C5</f>
        <v>22.509499999999999</v>
      </c>
      <c r="F57" s="125">
        <f t="shared" si="4"/>
        <v>9363.9519999999993</v>
      </c>
      <c r="G57" s="125">
        <f>F57/C5</f>
        <v>2080</v>
      </c>
    </row>
    <row r="58" spans="1:7" ht="31.5" x14ac:dyDescent="0.25">
      <c r="A58" s="164" t="s">
        <v>315</v>
      </c>
      <c r="B58" s="109" t="s">
        <v>316</v>
      </c>
      <c r="C58" s="181" t="s">
        <v>153</v>
      </c>
      <c r="D58" s="190">
        <v>440</v>
      </c>
      <c r="E58" s="121">
        <f>0.25*C5</f>
        <v>1.125475</v>
      </c>
      <c r="F58" s="125">
        <f t="shared" si="4"/>
        <v>495.209</v>
      </c>
      <c r="G58" s="125">
        <f>F58/C5</f>
        <v>110</v>
      </c>
    </row>
    <row r="59" spans="1:7" ht="30" customHeight="1" x14ac:dyDescent="0.25">
      <c r="A59" s="164" t="s">
        <v>317</v>
      </c>
      <c r="B59" s="109" t="s">
        <v>267</v>
      </c>
      <c r="C59" s="181" t="s">
        <v>153</v>
      </c>
      <c r="D59" s="190">
        <v>416</v>
      </c>
      <c r="E59" s="121">
        <f>5*C5</f>
        <v>22.509499999999999</v>
      </c>
      <c r="F59" s="125">
        <f t="shared" si="4"/>
        <v>9363.9519999999993</v>
      </c>
      <c r="G59" s="125">
        <f>F59/C5</f>
        <v>2080</v>
      </c>
    </row>
    <row r="60" spans="1:7" ht="18" customHeight="1" x14ac:dyDescent="0.25">
      <c r="A60" s="191" t="s">
        <v>318</v>
      </c>
      <c r="B60" s="182" t="s">
        <v>319</v>
      </c>
      <c r="C60" s="183" t="s">
        <v>153</v>
      </c>
      <c r="D60" s="192">
        <v>13</v>
      </c>
      <c r="E60" s="185">
        <f>12*C5</f>
        <v>54.022800000000004</v>
      </c>
      <c r="F60" s="186">
        <f t="shared" si="4"/>
        <v>702.29640000000006</v>
      </c>
      <c r="G60" s="186">
        <f>F60/C5</f>
        <v>156</v>
      </c>
    </row>
    <row r="61" spans="1:7" ht="18" customHeight="1" x14ac:dyDescent="0.25">
      <c r="A61" s="191"/>
      <c r="B61" s="187"/>
      <c r="C61" s="183"/>
      <c r="D61" s="192"/>
      <c r="E61" s="185"/>
      <c r="F61" s="186"/>
      <c r="G61" s="186"/>
    </row>
    <row r="62" spans="1:7" ht="17.25" customHeight="1" x14ac:dyDescent="0.25">
      <c r="A62" s="188" t="s">
        <v>230</v>
      </c>
      <c r="B62" s="189" t="s">
        <v>320</v>
      </c>
      <c r="C62" s="181"/>
      <c r="D62" s="190"/>
      <c r="E62" s="121"/>
      <c r="F62" s="101">
        <f>SUM(F63:F74)</f>
        <v>92015.234480000014</v>
      </c>
      <c r="G62" s="101">
        <f>SUM(G63:G74)</f>
        <v>20439.2</v>
      </c>
    </row>
    <row r="63" spans="1:7" ht="31.5" x14ac:dyDescent="0.25">
      <c r="A63" s="164" t="s">
        <v>321</v>
      </c>
      <c r="B63" s="109" t="s">
        <v>322</v>
      </c>
      <c r="C63" s="180" t="s">
        <v>153</v>
      </c>
      <c r="D63" s="190">
        <v>185</v>
      </c>
      <c r="E63" s="121">
        <f>65*C5</f>
        <v>292.62349999999998</v>
      </c>
      <c r="F63" s="125">
        <f t="shared" ref="F63:F74" si="5">D63*E63</f>
        <v>54135.347499999996</v>
      </c>
      <c r="G63" s="125">
        <f>F63/C5</f>
        <v>12025</v>
      </c>
    </row>
    <row r="64" spans="1:7" ht="31.5" x14ac:dyDescent="0.25">
      <c r="A64" s="164" t="s">
        <v>323</v>
      </c>
      <c r="B64" s="109" t="s">
        <v>324</v>
      </c>
      <c r="C64" s="180" t="s">
        <v>153</v>
      </c>
      <c r="D64" s="190">
        <v>25</v>
      </c>
      <c r="E64" s="121">
        <f>80*C5</f>
        <v>360.15199999999999</v>
      </c>
      <c r="F64" s="125">
        <f t="shared" si="5"/>
        <v>9003.7999999999993</v>
      </c>
      <c r="G64" s="125">
        <f>F64/C5</f>
        <v>1999.9999999999998</v>
      </c>
    </row>
    <row r="65" spans="1:7" x14ac:dyDescent="0.25">
      <c r="A65" s="164" t="s">
        <v>325</v>
      </c>
      <c r="B65" s="109" t="s">
        <v>326</v>
      </c>
      <c r="C65" s="180" t="s">
        <v>153</v>
      </c>
      <c r="D65" s="190">
        <v>15.3</v>
      </c>
      <c r="E65" s="121">
        <f>70*C5</f>
        <v>315.13299999999998</v>
      </c>
      <c r="F65" s="125">
        <f t="shared" si="5"/>
        <v>4821.5348999999997</v>
      </c>
      <c r="G65" s="125">
        <f>F65/C5</f>
        <v>1071</v>
      </c>
    </row>
    <row r="66" spans="1:7" x14ac:dyDescent="0.25">
      <c r="A66" s="164" t="s">
        <v>327</v>
      </c>
      <c r="B66" s="109" t="s">
        <v>328</v>
      </c>
      <c r="C66" s="180" t="s">
        <v>153</v>
      </c>
      <c r="D66" s="190">
        <v>14</v>
      </c>
      <c r="E66" s="121">
        <f>60*C5</f>
        <v>270.11399999999998</v>
      </c>
      <c r="F66" s="125">
        <f t="shared" si="5"/>
        <v>3781.5959999999995</v>
      </c>
      <c r="G66" s="125">
        <f>F66/C5</f>
        <v>839.99999999999989</v>
      </c>
    </row>
    <row r="67" spans="1:7" ht="31.5" x14ac:dyDescent="0.25">
      <c r="A67" s="164" t="s">
        <v>329</v>
      </c>
      <c r="B67" s="193" t="s">
        <v>330</v>
      </c>
      <c r="C67" s="180" t="s">
        <v>153</v>
      </c>
      <c r="D67" s="190">
        <v>20</v>
      </c>
      <c r="E67" s="121">
        <f>70*C5</f>
        <v>315.13299999999998</v>
      </c>
      <c r="F67" s="125">
        <f t="shared" si="5"/>
        <v>6302.66</v>
      </c>
      <c r="G67" s="125">
        <f>F67/C5</f>
        <v>1400</v>
      </c>
    </row>
    <row r="68" spans="1:7" x14ac:dyDescent="0.25">
      <c r="A68" s="164" t="s">
        <v>331</v>
      </c>
      <c r="B68" s="193" t="s">
        <v>332</v>
      </c>
      <c r="C68" s="180" t="s">
        <v>153</v>
      </c>
      <c r="D68" s="190">
        <v>4</v>
      </c>
      <c r="E68" s="121">
        <f>70*C5</f>
        <v>315.13299999999998</v>
      </c>
      <c r="F68" s="125">
        <f t="shared" si="5"/>
        <v>1260.5319999999999</v>
      </c>
      <c r="G68" s="125">
        <f>F68/C5</f>
        <v>280</v>
      </c>
    </row>
    <row r="69" spans="1:7" ht="28.5" customHeight="1" x14ac:dyDescent="0.25">
      <c r="A69" s="164" t="s">
        <v>333</v>
      </c>
      <c r="B69" s="109" t="s">
        <v>334</v>
      </c>
      <c r="C69" s="180" t="s">
        <v>153</v>
      </c>
      <c r="D69" s="190">
        <v>4</v>
      </c>
      <c r="E69" s="121">
        <f>90*C5</f>
        <v>405.17099999999999</v>
      </c>
      <c r="F69" s="125">
        <f t="shared" si="5"/>
        <v>1620.684</v>
      </c>
      <c r="G69" s="125">
        <f>F69/C5</f>
        <v>360</v>
      </c>
    </row>
    <row r="70" spans="1:7" x14ac:dyDescent="0.25">
      <c r="A70" s="191" t="s">
        <v>335</v>
      </c>
      <c r="B70" s="194" t="s">
        <v>336</v>
      </c>
      <c r="C70" s="195" t="s">
        <v>254</v>
      </c>
      <c r="D70" s="192">
        <v>120</v>
      </c>
      <c r="E70" s="185">
        <f>6*C5</f>
        <v>27.011400000000002</v>
      </c>
      <c r="F70" s="186">
        <f t="shared" si="5"/>
        <v>3241.3680000000004</v>
      </c>
      <c r="G70" s="186">
        <f>F70/C5</f>
        <v>720.00000000000011</v>
      </c>
    </row>
    <row r="71" spans="1:7" x14ac:dyDescent="0.25">
      <c r="A71" s="191" t="s">
        <v>337</v>
      </c>
      <c r="B71" s="194" t="s">
        <v>338</v>
      </c>
      <c r="C71" s="195" t="s">
        <v>254</v>
      </c>
      <c r="D71" s="192">
        <v>120</v>
      </c>
      <c r="E71" s="185">
        <f>5*C5</f>
        <v>22.509499999999999</v>
      </c>
      <c r="F71" s="186">
        <f t="shared" si="5"/>
        <v>2701.14</v>
      </c>
      <c r="G71" s="186">
        <f>F71/C5</f>
        <v>600</v>
      </c>
    </row>
    <row r="72" spans="1:7" ht="31.5" x14ac:dyDescent="0.25">
      <c r="A72" s="164" t="s">
        <v>339</v>
      </c>
      <c r="B72" s="194" t="s">
        <v>340</v>
      </c>
      <c r="C72" s="195" t="s">
        <v>147</v>
      </c>
      <c r="D72" s="196">
        <v>800</v>
      </c>
      <c r="E72" s="185">
        <f>1*C5</f>
        <v>4.5019</v>
      </c>
      <c r="F72" s="186">
        <f t="shared" si="5"/>
        <v>3601.52</v>
      </c>
      <c r="G72" s="186">
        <f>F72/C5</f>
        <v>800</v>
      </c>
    </row>
    <row r="73" spans="1:7" x14ac:dyDescent="0.25">
      <c r="A73" s="164" t="s">
        <v>341</v>
      </c>
      <c r="B73" s="166" t="s">
        <v>342</v>
      </c>
      <c r="C73" s="180" t="s">
        <v>153</v>
      </c>
      <c r="D73" s="197">
        <v>5.4</v>
      </c>
      <c r="E73" s="121">
        <f>8*C5</f>
        <v>36.0152</v>
      </c>
      <c r="F73" s="125">
        <f t="shared" si="5"/>
        <v>194.48208000000002</v>
      </c>
      <c r="G73" s="125">
        <f>F73/C5</f>
        <v>43.2</v>
      </c>
    </row>
    <row r="74" spans="1:7" ht="31.5" x14ac:dyDescent="0.25">
      <c r="A74" s="164" t="s">
        <v>343</v>
      </c>
      <c r="B74" s="198" t="s">
        <v>344</v>
      </c>
      <c r="C74" s="195" t="s">
        <v>43</v>
      </c>
      <c r="D74" s="196">
        <v>2</v>
      </c>
      <c r="E74" s="185">
        <f>150*C5</f>
        <v>675.28499999999997</v>
      </c>
      <c r="F74" s="186">
        <f t="shared" si="5"/>
        <v>1350.57</v>
      </c>
      <c r="G74" s="186">
        <f>F74/C5</f>
        <v>300</v>
      </c>
    </row>
    <row r="75" spans="1:7" x14ac:dyDescent="0.25">
      <c r="A75" s="164"/>
      <c r="B75" s="198"/>
      <c r="C75" s="195"/>
      <c r="D75" s="196"/>
      <c r="E75" s="185"/>
      <c r="F75" s="186"/>
      <c r="G75" s="186"/>
    </row>
    <row r="76" spans="1:7" x14ac:dyDescent="0.25">
      <c r="A76" s="188" t="s">
        <v>232</v>
      </c>
      <c r="B76" s="199" t="s">
        <v>345</v>
      </c>
      <c r="C76" s="175"/>
      <c r="D76" s="200"/>
      <c r="E76" s="121"/>
      <c r="F76" s="101">
        <f>F77</f>
        <v>3376.4249999999997</v>
      </c>
      <c r="G76" s="101">
        <f>G77</f>
        <v>749.99999999999989</v>
      </c>
    </row>
    <row r="77" spans="1:7" ht="47.25" x14ac:dyDescent="0.25">
      <c r="A77" s="164" t="s">
        <v>346</v>
      </c>
      <c r="B77" s="109" t="s">
        <v>347</v>
      </c>
      <c r="C77" s="180" t="s">
        <v>153</v>
      </c>
      <c r="D77" s="197">
        <v>50</v>
      </c>
      <c r="E77" s="121">
        <f>15*C5</f>
        <v>67.528499999999994</v>
      </c>
      <c r="F77" s="125">
        <f>D77*E77</f>
        <v>3376.4249999999997</v>
      </c>
      <c r="G77" s="125">
        <f>F77/C5</f>
        <v>749.99999999999989</v>
      </c>
    </row>
    <row r="78" spans="1:7" x14ac:dyDescent="0.25">
      <c r="A78" s="164"/>
      <c r="B78" s="166"/>
      <c r="C78" s="180"/>
      <c r="D78" s="197"/>
      <c r="E78" s="121"/>
      <c r="F78" s="125"/>
      <c r="G78" s="125"/>
    </row>
    <row r="79" spans="1:7" ht="18" customHeight="1" x14ac:dyDescent="0.25">
      <c r="A79" s="188" t="s">
        <v>233</v>
      </c>
      <c r="B79" s="199" t="s">
        <v>348</v>
      </c>
      <c r="C79" s="175"/>
      <c r="D79" s="200"/>
      <c r="E79" s="121"/>
      <c r="F79" s="101">
        <f>SUM(F80:F85)</f>
        <v>21082.397700000001</v>
      </c>
      <c r="G79" s="101">
        <f>SUM(G80:G85)</f>
        <v>4683</v>
      </c>
    </row>
    <row r="80" spans="1:7" ht="18" customHeight="1" x14ac:dyDescent="0.25">
      <c r="A80" s="201" t="s">
        <v>349</v>
      </c>
      <c r="B80" s="202" t="s">
        <v>350</v>
      </c>
      <c r="C80" s="175" t="s">
        <v>153</v>
      </c>
      <c r="D80" s="200">
        <v>60</v>
      </c>
      <c r="E80" s="121">
        <f>2*C5</f>
        <v>9.0038</v>
      </c>
      <c r="F80" s="125">
        <f t="shared" ref="F80:F85" si="6">D80*E80</f>
        <v>540.22799999999995</v>
      </c>
      <c r="G80" s="125">
        <f>F80/C5</f>
        <v>119.99999999999999</v>
      </c>
    </row>
    <row r="81" spans="1:7" ht="18" customHeight="1" x14ac:dyDescent="0.25">
      <c r="A81" s="201" t="s">
        <v>351</v>
      </c>
      <c r="B81" s="202" t="s">
        <v>352</v>
      </c>
      <c r="C81" s="175" t="s">
        <v>153</v>
      </c>
      <c r="D81" s="200">
        <v>300</v>
      </c>
      <c r="E81" s="121">
        <f>2*C5</f>
        <v>9.0038</v>
      </c>
      <c r="F81" s="125">
        <f t="shared" si="6"/>
        <v>2701.14</v>
      </c>
      <c r="G81" s="125">
        <f>F81/C5</f>
        <v>600</v>
      </c>
    </row>
    <row r="82" spans="1:7" ht="18" customHeight="1" x14ac:dyDescent="0.25">
      <c r="A82" s="201" t="s">
        <v>353</v>
      </c>
      <c r="B82" s="202" t="s">
        <v>354</v>
      </c>
      <c r="C82" s="175" t="s">
        <v>153</v>
      </c>
      <c r="D82" s="200">
        <v>2430</v>
      </c>
      <c r="E82" s="121">
        <f>1.5*C5</f>
        <v>6.7528500000000005</v>
      </c>
      <c r="F82" s="125">
        <f t="shared" si="6"/>
        <v>16409.425500000001</v>
      </c>
      <c r="G82" s="125">
        <f>F82/C5</f>
        <v>3645.0000000000005</v>
      </c>
    </row>
    <row r="83" spans="1:7" ht="18" customHeight="1" x14ac:dyDescent="0.25">
      <c r="A83" s="201" t="s">
        <v>355</v>
      </c>
      <c r="B83" s="202" t="s">
        <v>356</v>
      </c>
      <c r="C83" s="175" t="s">
        <v>153</v>
      </c>
      <c r="D83" s="200">
        <v>84</v>
      </c>
      <c r="E83" s="121">
        <f>2*C5</f>
        <v>9.0038</v>
      </c>
      <c r="F83" s="125">
        <f t="shared" si="6"/>
        <v>756.31920000000002</v>
      </c>
      <c r="G83" s="125">
        <f>F83/C5</f>
        <v>168</v>
      </c>
    </row>
    <row r="84" spans="1:7" ht="18" customHeight="1" x14ac:dyDescent="0.25">
      <c r="A84" s="201" t="s">
        <v>357</v>
      </c>
      <c r="B84" s="202" t="s">
        <v>358</v>
      </c>
      <c r="C84" s="175" t="s">
        <v>254</v>
      </c>
      <c r="D84" s="200">
        <v>15</v>
      </c>
      <c r="E84" s="121">
        <f>6*C5</f>
        <v>27.011400000000002</v>
      </c>
      <c r="F84" s="125">
        <f t="shared" si="6"/>
        <v>405.17100000000005</v>
      </c>
      <c r="G84" s="125">
        <f>F84/C5</f>
        <v>90.000000000000014</v>
      </c>
    </row>
    <row r="85" spans="1:7" ht="18" customHeight="1" x14ac:dyDescent="0.25">
      <c r="A85" s="201" t="s">
        <v>359</v>
      </c>
      <c r="B85" s="202" t="s">
        <v>360</v>
      </c>
      <c r="C85" s="175" t="s">
        <v>153</v>
      </c>
      <c r="D85" s="200">
        <v>30</v>
      </c>
      <c r="E85" s="121">
        <f>2*C5</f>
        <v>9.0038</v>
      </c>
      <c r="F85" s="125">
        <f t="shared" si="6"/>
        <v>270.11399999999998</v>
      </c>
      <c r="G85" s="125">
        <f>F85/C5</f>
        <v>59.999999999999993</v>
      </c>
    </row>
    <row r="86" spans="1:7" ht="18" customHeight="1" x14ac:dyDescent="0.25">
      <c r="A86" s="201"/>
      <c r="B86" s="202"/>
      <c r="C86" s="175"/>
      <c r="D86" s="200"/>
      <c r="E86" s="121"/>
      <c r="F86" s="125"/>
      <c r="G86" s="125"/>
    </row>
    <row r="87" spans="1:7" ht="18" customHeight="1" x14ac:dyDescent="0.25">
      <c r="A87" s="188" t="s">
        <v>235</v>
      </c>
      <c r="B87" s="189" t="s">
        <v>361</v>
      </c>
      <c r="C87" s="175"/>
      <c r="D87" s="200"/>
      <c r="E87" s="121"/>
      <c r="F87" s="101">
        <f>SUM(F88:F92)</f>
        <v>10579.465</v>
      </c>
      <c r="G87" s="101">
        <f>SUM(G88:G92)</f>
        <v>2350</v>
      </c>
    </row>
    <row r="88" spans="1:7" ht="43.5" customHeight="1" x14ac:dyDescent="0.25">
      <c r="A88" s="201" t="s">
        <v>362</v>
      </c>
      <c r="B88" s="114" t="s">
        <v>363</v>
      </c>
      <c r="C88" s="180" t="s">
        <v>153</v>
      </c>
      <c r="D88" s="200">
        <v>105</v>
      </c>
      <c r="E88" s="121">
        <f>8*C5</f>
        <v>36.0152</v>
      </c>
      <c r="F88" s="125">
        <f>D88*E88</f>
        <v>3781.596</v>
      </c>
      <c r="G88" s="125">
        <f>F88/C5</f>
        <v>840</v>
      </c>
    </row>
    <row r="89" spans="1:7" ht="16.5" customHeight="1" x14ac:dyDescent="0.25">
      <c r="A89" s="164" t="s">
        <v>364</v>
      </c>
      <c r="B89" s="109" t="s">
        <v>365</v>
      </c>
      <c r="C89" s="181" t="s">
        <v>146</v>
      </c>
      <c r="D89" s="179">
        <v>11</v>
      </c>
      <c r="E89" s="121">
        <f>8*C5</f>
        <v>36.0152</v>
      </c>
      <c r="F89" s="125">
        <f>D89*E89</f>
        <v>396.16719999999998</v>
      </c>
      <c r="G89" s="125">
        <f>F89/C5</f>
        <v>88</v>
      </c>
    </row>
    <row r="90" spans="1:7" ht="15.75" customHeight="1" x14ac:dyDescent="0.25">
      <c r="A90" s="164" t="s">
        <v>366</v>
      </c>
      <c r="B90" s="109" t="s">
        <v>367</v>
      </c>
      <c r="C90" s="181" t="s">
        <v>146</v>
      </c>
      <c r="D90" s="179">
        <v>6</v>
      </c>
      <c r="E90" s="121">
        <f>12*C5</f>
        <v>54.022800000000004</v>
      </c>
      <c r="F90" s="125">
        <f>D90*E90</f>
        <v>324.13679999999999</v>
      </c>
      <c r="G90" s="125">
        <f>F90/C5</f>
        <v>72</v>
      </c>
    </row>
    <row r="91" spans="1:7" ht="15.75" customHeight="1" x14ac:dyDescent="0.25">
      <c r="A91" s="164" t="s">
        <v>368</v>
      </c>
      <c r="B91" s="109" t="s">
        <v>369</v>
      </c>
      <c r="C91" s="181" t="s">
        <v>370</v>
      </c>
      <c r="D91" s="203">
        <v>6</v>
      </c>
      <c r="E91" s="121">
        <f>200*C5</f>
        <v>900.38</v>
      </c>
      <c r="F91" s="125">
        <f>D91*E91</f>
        <v>5402.28</v>
      </c>
      <c r="G91" s="125">
        <f>F91/C5</f>
        <v>1200</v>
      </c>
    </row>
    <row r="92" spans="1:7" ht="15.75" customHeight="1" x14ac:dyDescent="0.25">
      <c r="A92" s="164" t="s">
        <v>371</v>
      </c>
      <c r="B92" s="109" t="s">
        <v>372</v>
      </c>
      <c r="C92" s="181" t="s">
        <v>147</v>
      </c>
      <c r="D92" s="179">
        <v>150</v>
      </c>
      <c r="E92" s="121">
        <f>1*C5</f>
        <v>4.5019</v>
      </c>
      <c r="F92" s="125">
        <f>D92*E92</f>
        <v>675.28499999999997</v>
      </c>
      <c r="G92" s="125">
        <f>F92/C5</f>
        <v>150</v>
      </c>
    </row>
    <row r="93" spans="1:7" ht="15.75" customHeight="1" x14ac:dyDescent="0.25">
      <c r="A93" s="165"/>
      <c r="B93" s="204"/>
      <c r="C93" s="205"/>
      <c r="D93" s="206"/>
      <c r="E93" s="131"/>
      <c r="F93" s="207"/>
      <c r="G93" s="207"/>
    </row>
    <row r="94" spans="1:7" ht="15.75" customHeight="1" x14ac:dyDescent="0.25">
      <c r="A94" s="214"/>
      <c r="B94" s="208" t="s">
        <v>373</v>
      </c>
      <c r="C94" s="209"/>
      <c r="D94" s="210"/>
      <c r="E94" s="210"/>
      <c r="F94" s="211">
        <f>F95</f>
        <v>18007.599999999999</v>
      </c>
      <c r="G94" s="211">
        <f>F94/C5</f>
        <v>3999.9999999999995</v>
      </c>
    </row>
    <row r="95" spans="1:7" ht="30" customHeight="1" x14ac:dyDescent="0.25">
      <c r="A95" s="164">
        <v>9.1</v>
      </c>
      <c r="B95" s="109" t="s">
        <v>374</v>
      </c>
      <c r="C95" s="181" t="s">
        <v>243</v>
      </c>
      <c r="D95" s="179">
        <v>1</v>
      </c>
      <c r="E95" s="121">
        <f>4000*C5</f>
        <v>18007.599999999999</v>
      </c>
      <c r="F95" s="125">
        <f>D95*E95</f>
        <v>18007.599999999999</v>
      </c>
      <c r="G95" s="125">
        <f>F95/C5</f>
        <v>3999.9999999999995</v>
      </c>
    </row>
    <row r="96" spans="1:7" ht="15.75" customHeight="1" thickBot="1" x14ac:dyDescent="0.3">
      <c r="A96" s="215"/>
      <c r="B96" s="216" t="s">
        <v>246</v>
      </c>
      <c r="C96" s="217"/>
      <c r="D96" s="218"/>
      <c r="E96" s="219"/>
      <c r="F96" s="220">
        <f>F7+F15+F34+F49+F62+F76+F79+F87+F94</f>
        <v>591127.38177999994</v>
      </c>
      <c r="G96" s="220">
        <f>G7+G15+G34+G49+G62+G76+G79+G87+G94</f>
        <v>131306.19999999998</v>
      </c>
    </row>
    <row r="97" spans="1:4" ht="45.75" x14ac:dyDescent="0.25">
      <c r="A97" s="135"/>
      <c r="B97" s="84" t="s">
        <v>247</v>
      </c>
    </row>
    <row r="98" spans="1:4" x14ac:dyDescent="0.25">
      <c r="A98" s="135"/>
      <c r="B98" s="136" t="s">
        <v>194</v>
      </c>
      <c r="C98" s="138"/>
      <c r="D98" s="139"/>
    </row>
    <row r="99" spans="1:4" x14ac:dyDescent="0.25">
      <c r="B99" s="137" t="s">
        <v>195</v>
      </c>
    </row>
  </sheetData>
  <mergeCells count="1">
    <mergeCell ref="A4:F4"/>
  </mergeCell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52" zoomScaleNormal="100" workbookViewId="0">
      <selection activeCell="F66" sqref="A1:F66"/>
    </sheetView>
  </sheetViews>
  <sheetFormatPr defaultRowHeight="15" x14ac:dyDescent="0.25"/>
  <cols>
    <col min="1" max="1" width="4.85546875" customWidth="1"/>
    <col min="2" max="2" width="49.7109375" customWidth="1"/>
    <col min="3" max="3" width="9.42578125" customWidth="1"/>
    <col min="4" max="4" width="8.5703125" customWidth="1"/>
    <col min="5" max="5" width="9.42578125" bestFit="1" customWidth="1"/>
    <col min="6" max="6" width="14.42578125" bestFit="1" customWidth="1"/>
    <col min="7" max="7" width="13" hidden="1" customWidth="1"/>
    <col min="257" max="257" width="4.85546875" customWidth="1"/>
    <col min="258" max="258" width="49.7109375" customWidth="1"/>
    <col min="259" max="259" width="5.7109375" customWidth="1"/>
    <col min="260" max="260" width="8.5703125" customWidth="1"/>
    <col min="513" max="513" width="4.85546875" customWidth="1"/>
    <col min="514" max="514" width="49.7109375" customWidth="1"/>
    <col min="515" max="515" width="5.7109375" customWidth="1"/>
    <col min="516" max="516" width="8.5703125" customWidth="1"/>
    <col min="769" max="769" width="4.85546875" customWidth="1"/>
    <col min="770" max="770" width="49.7109375" customWidth="1"/>
    <col min="771" max="771" width="5.7109375" customWidth="1"/>
    <col min="772" max="772" width="8.5703125" customWidth="1"/>
    <col min="1025" max="1025" width="4.85546875" customWidth="1"/>
    <col min="1026" max="1026" width="49.7109375" customWidth="1"/>
    <col min="1027" max="1027" width="5.7109375" customWidth="1"/>
    <col min="1028" max="1028" width="8.5703125" customWidth="1"/>
    <col min="1281" max="1281" width="4.85546875" customWidth="1"/>
    <col min="1282" max="1282" width="49.7109375" customWidth="1"/>
    <col min="1283" max="1283" width="5.7109375" customWidth="1"/>
    <col min="1284" max="1284" width="8.5703125" customWidth="1"/>
    <col min="1537" max="1537" width="4.85546875" customWidth="1"/>
    <col min="1538" max="1538" width="49.7109375" customWidth="1"/>
    <col min="1539" max="1539" width="5.7109375" customWidth="1"/>
    <col min="1540" max="1540" width="8.5703125" customWidth="1"/>
    <col min="1793" max="1793" width="4.85546875" customWidth="1"/>
    <col min="1794" max="1794" width="49.7109375" customWidth="1"/>
    <col min="1795" max="1795" width="5.7109375" customWidth="1"/>
    <col min="1796" max="1796" width="8.5703125" customWidth="1"/>
    <col min="2049" max="2049" width="4.85546875" customWidth="1"/>
    <col min="2050" max="2050" width="49.7109375" customWidth="1"/>
    <col min="2051" max="2051" width="5.7109375" customWidth="1"/>
    <col min="2052" max="2052" width="8.5703125" customWidth="1"/>
    <col min="2305" max="2305" width="4.85546875" customWidth="1"/>
    <col min="2306" max="2306" width="49.7109375" customWidth="1"/>
    <col min="2307" max="2307" width="5.7109375" customWidth="1"/>
    <col min="2308" max="2308" width="8.5703125" customWidth="1"/>
    <col min="2561" max="2561" width="4.85546875" customWidth="1"/>
    <col min="2562" max="2562" width="49.7109375" customWidth="1"/>
    <col min="2563" max="2563" width="5.7109375" customWidth="1"/>
    <col min="2564" max="2564" width="8.5703125" customWidth="1"/>
    <col min="2817" max="2817" width="4.85546875" customWidth="1"/>
    <col min="2818" max="2818" width="49.7109375" customWidth="1"/>
    <col min="2819" max="2819" width="5.7109375" customWidth="1"/>
    <col min="2820" max="2820" width="8.5703125" customWidth="1"/>
    <col min="3073" max="3073" width="4.85546875" customWidth="1"/>
    <col min="3074" max="3074" width="49.7109375" customWidth="1"/>
    <col min="3075" max="3075" width="5.7109375" customWidth="1"/>
    <col min="3076" max="3076" width="8.5703125" customWidth="1"/>
    <col min="3329" max="3329" width="4.85546875" customWidth="1"/>
    <col min="3330" max="3330" width="49.7109375" customWidth="1"/>
    <col min="3331" max="3331" width="5.7109375" customWidth="1"/>
    <col min="3332" max="3332" width="8.5703125" customWidth="1"/>
    <col min="3585" max="3585" width="4.85546875" customWidth="1"/>
    <col min="3586" max="3586" width="49.7109375" customWidth="1"/>
    <col min="3587" max="3587" width="5.7109375" customWidth="1"/>
    <col min="3588" max="3588" width="8.5703125" customWidth="1"/>
    <col min="3841" max="3841" width="4.85546875" customWidth="1"/>
    <col min="3842" max="3842" width="49.7109375" customWidth="1"/>
    <col min="3843" max="3843" width="5.7109375" customWidth="1"/>
    <col min="3844" max="3844" width="8.5703125" customWidth="1"/>
    <col min="4097" max="4097" width="4.85546875" customWidth="1"/>
    <col min="4098" max="4098" width="49.7109375" customWidth="1"/>
    <col min="4099" max="4099" width="5.7109375" customWidth="1"/>
    <col min="4100" max="4100" width="8.5703125" customWidth="1"/>
    <col min="4353" max="4353" width="4.85546875" customWidth="1"/>
    <col min="4354" max="4354" width="49.7109375" customWidth="1"/>
    <col min="4355" max="4355" width="5.7109375" customWidth="1"/>
    <col min="4356" max="4356" width="8.5703125" customWidth="1"/>
    <col min="4609" max="4609" width="4.85546875" customWidth="1"/>
    <col min="4610" max="4610" width="49.7109375" customWidth="1"/>
    <col min="4611" max="4611" width="5.7109375" customWidth="1"/>
    <col min="4612" max="4612" width="8.5703125" customWidth="1"/>
    <col min="4865" max="4865" width="4.85546875" customWidth="1"/>
    <col min="4866" max="4866" width="49.7109375" customWidth="1"/>
    <col min="4867" max="4867" width="5.7109375" customWidth="1"/>
    <col min="4868" max="4868" width="8.5703125" customWidth="1"/>
    <col min="5121" max="5121" width="4.85546875" customWidth="1"/>
    <col min="5122" max="5122" width="49.7109375" customWidth="1"/>
    <col min="5123" max="5123" width="5.7109375" customWidth="1"/>
    <col min="5124" max="5124" width="8.5703125" customWidth="1"/>
    <col min="5377" max="5377" width="4.85546875" customWidth="1"/>
    <col min="5378" max="5378" width="49.7109375" customWidth="1"/>
    <col min="5379" max="5379" width="5.7109375" customWidth="1"/>
    <col min="5380" max="5380" width="8.5703125" customWidth="1"/>
    <col min="5633" max="5633" width="4.85546875" customWidth="1"/>
    <col min="5634" max="5634" width="49.7109375" customWidth="1"/>
    <col min="5635" max="5635" width="5.7109375" customWidth="1"/>
    <col min="5636" max="5636" width="8.5703125" customWidth="1"/>
    <col min="5889" max="5889" width="4.85546875" customWidth="1"/>
    <col min="5890" max="5890" width="49.7109375" customWidth="1"/>
    <col min="5891" max="5891" width="5.7109375" customWidth="1"/>
    <col min="5892" max="5892" width="8.5703125" customWidth="1"/>
    <col min="6145" max="6145" width="4.85546875" customWidth="1"/>
    <col min="6146" max="6146" width="49.7109375" customWidth="1"/>
    <col min="6147" max="6147" width="5.7109375" customWidth="1"/>
    <col min="6148" max="6148" width="8.5703125" customWidth="1"/>
    <col min="6401" max="6401" width="4.85546875" customWidth="1"/>
    <col min="6402" max="6402" width="49.7109375" customWidth="1"/>
    <col min="6403" max="6403" width="5.7109375" customWidth="1"/>
    <col min="6404" max="6404" width="8.5703125" customWidth="1"/>
    <col min="6657" max="6657" width="4.85546875" customWidth="1"/>
    <col min="6658" max="6658" width="49.7109375" customWidth="1"/>
    <col min="6659" max="6659" width="5.7109375" customWidth="1"/>
    <col min="6660" max="6660" width="8.5703125" customWidth="1"/>
    <col min="6913" max="6913" width="4.85546875" customWidth="1"/>
    <col min="6914" max="6914" width="49.7109375" customWidth="1"/>
    <col min="6915" max="6915" width="5.7109375" customWidth="1"/>
    <col min="6916" max="6916" width="8.5703125" customWidth="1"/>
    <col min="7169" max="7169" width="4.85546875" customWidth="1"/>
    <col min="7170" max="7170" width="49.7109375" customWidth="1"/>
    <col min="7171" max="7171" width="5.7109375" customWidth="1"/>
    <col min="7172" max="7172" width="8.5703125" customWidth="1"/>
    <col min="7425" max="7425" width="4.85546875" customWidth="1"/>
    <col min="7426" max="7426" width="49.7109375" customWidth="1"/>
    <col min="7427" max="7427" width="5.7109375" customWidth="1"/>
    <col min="7428" max="7428" width="8.5703125" customWidth="1"/>
    <col min="7681" max="7681" width="4.85546875" customWidth="1"/>
    <col min="7682" max="7682" width="49.7109375" customWidth="1"/>
    <col min="7683" max="7683" width="5.7109375" customWidth="1"/>
    <col min="7684" max="7684" width="8.5703125" customWidth="1"/>
    <col min="7937" max="7937" width="4.85546875" customWidth="1"/>
    <col min="7938" max="7938" width="49.7109375" customWidth="1"/>
    <col min="7939" max="7939" width="5.7109375" customWidth="1"/>
    <col min="7940" max="7940" width="8.5703125" customWidth="1"/>
    <col min="8193" max="8193" width="4.85546875" customWidth="1"/>
    <col min="8194" max="8194" width="49.7109375" customWidth="1"/>
    <col min="8195" max="8195" width="5.7109375" customWidth="1"/>
    <col min="8196" max="8196" width="8.5703125" customWidth="1"/>
    <col min="8449" max="8449" width="4.85546875" customWidth="1"/>
    <col min="8450" max="8450" width="49.7109375" customWidth="1"/>
    <col min="8451" max="8451" width="5.7109375" customWidth="1"/>
    <col min="8452" max="8452" width="8.5703125" customWidth="1"/>
    <col min="8705" max="8705" width="4.85546875" customWidth="1"/>
    <col min="8706" max="8706" width="49.7109375" customWidth="1"/>
    <col min="8707" max="8707" width="5.7109375" customWidth="1"/>
    <col min="8708" max="8708" width="8.5703125" customWidth="1"/>
    <col min="8961" max="8961" width="4.85546875" customWidth="1"/>
    <col min="8962" max="8962" width="49.7109375" customWidth="1"/>
    <col min="8963" max="8963" width="5.7109375" customWidth="1"/>
    <col min="8964" max="8964" width="8.5703125" customWidth="1"/>
    <col min="9217" max="9217" width="4.85546875" customWidth="1"/>
    <col min="9218" max="9218" width="49.7109375" customWidth="1"/>
    <col min="9219" max="9219" width="5.7109375" customWidth="1"/>
    <col min="9220" max="9220" width="8.5703125" customWidth="1"/>
    <col min="9473" max="9473" width="4.85546875" customWidth="1"/>
    <col min="9474" max="9474" width="49.7109375" customWidth="1"/>
    <col min="9475" max="9475" width="5.7109375" customWidth="1"/>
    <col min="9476" max="9476" width="8.5703125" customWidth="1"/>
    <col min="9729" max="9729" width="4.85546875" customWidth="1"/>
    <col min="9730" max="9730" width="49.7109375" customWidth="1"/>
    <col min="9731" max="9731" width="5.7109375" customWidth="1"/>
    <col min="9732" max="9732" width="8.5703125" customWidth="1"/>
    <col min="9985" max="9985" width="4.85546875" customWidth="1"/>
    <col min="9986" max="9986" width="49.7109375" customWidth="1"/>
    <col min="9987" max="9987" width="5.7109375" customWidth="1"/>
    <col min="9988" max="9988" width="8.5703125" customWidth="1"/>
    <col min="10241" max="10241" width="4.85546875" customWidth="1"/>
    <col min="10242" max="10242" width="49.7109375" customWidth="1"/>
    <col min="10243" max="10243" width="5.7109375" customWidth="1"/>
    <col min="10244" max="10244" width="8.5703125" customWidth="1"/>
    <col min="10497" max="10497" width="4.85546875" customWidth="1"/>
    <col min="10498" max="10498" width="49.7109375" customWidth="1"/>
    <col min="10499" max="10499" width="5.7109375" customWidth="1"/>
    <col min="10500" max="10500" width="8.5703125" customWidth="1"/>
    <col min="10753" max="10753" width="4.85546875" customWidth="1"/>
    <col min="10754" max="10754" width="49.7109375" customWidth="1"/>
    <col min="10755" max="10755" width="5.7109375" customWidth="1"/>
    <col min="10756" max="10756" width="8.5703125" customWidth="1"/>
    <col min="11009" max="11009" width="4.85546875" customWidth="1"/>
    <col min="11010" max="11010" width="49.7109375" customWidth="1"/>
    <col min="11011" max="11011" width="5.7109375" customWidth="1"/>
    <col min="11012" max="11012" width="8.5703125" customWidth="1"/>
    <col min="11265" max="11265" width="4.85546875" customWidth="1"/>
    <col min="11266" max="11266" width="49.7109375" customWidth="1"/>
    <col min="11267" max="11267" width="5.7109375" customWidth="1"/>
    <col min="11268" max="11268" width="8.5703125" customWidth="1"/>
    <col min="11521" max="11521" width="4.85546875" customWidth="1"/>
    <col min="11522" max="11522" width="49.7109375" customWidth="1"/>
    <col min="11523" max="11523" width="5.7109375" customWidth="1"/>
    <col min="11524" max="11524" width="8.5703125" customWidth="1"/>
    <col min="11777" max="11777" width="4.85546875" customWidth="1"/>
    <col min="11778" max="11778" width="49.7109375" customWidth="1"/>
    <col min="11779" max="11779" width="5.7109375" customWidth="1"/>
    <col min="11780" max="11780" width="8.5703125" customWidth="1"/>
    <col min="12033" max="12033" width="4.85546875" customWidth="1"/>
    <col min="12034" max="12034" width="49.7109375" customWidth="1"/>
    <col min="12035" max="12035" width="5.7109375" customWidth="1"/>
    <col min="12036" max="12036" width="8.5703125" customWidth="1"/>
    <col min="12289" max="12289" width="4.85546875" customWidth="1"/>
    <col min="12290" max="12290" width="49.7109375" customWidth="1"/>
    <col min="12291" max="12291" width="5.7109375" customWidth="1"/>
    <col min="12292" max="12292" width="8.5703125" customWidth="1"/>
    <col min="12545" max="12545" width="4.85546875" customWidth="1"/>
    <col min="12546" max="12546" width="49.7109375" customWidth="1"/>
    <col min="12547" max="12547" width="5.7109375" customWidth="1"/>
    <col min="12548" max="12548" width="8.5703125" customWidth="1"/>
    <col min="12801" max="12801" width="4.85546875" customWidth="1"/>
    <col min="12802" max="12802" width="49.7109375" customWidth="1"/>
    <col min="12803" max="12803" width="5.7109375" customWidth="1"/>
    <col min="12804" max="12804" width="8.5703125" customWidth="1"/>
    <col min="13057" max="13057" width="4.85546875" customWidth="1"/>
    <col min="13058" max="13058" width="49.7109375" customWidth="1"/>
    <col min="13059" max="13059" width="5.7109375" customWidth="1"/>
    <col min="13060" max="13060" width="8.5703125" customWidth="1"/>
    <col min="13313" max="13313" width="4.85546875" customWidth="1"/>
    <col min="13314" max="13314" width="49.7109375" customWidth="1"/>
    <col min="13315" max="13315" width="5.7109375" customWidth="1"/>
    <col min="13316" max="13316" width="8.5703125" customWidth="1"/>
    <col min="13569" max="13569" width="4.85546875" customWidth="1"/>
    <col min="13570" max="13570" width="49.7109375" customWidth="1"/>
    <col min="13571" max="13571" width="5.7109375" customWidth="1"/>
    <col min="13572" max="13572" width="8.5703125" customWidth="1"/>
    <col min="13825" max="13825" width="4.85546875" customWidth="1"/>
    <col min="13826" max="13826" width="49.7109375" customWidth="1"/>
    <col min="13827" max="13827" width="5.7109375" customWidth="1"/>
    <col min="13828" max="13828" width="8.5703125" customWidth="1"/>
    <col min="14081" max="14081" width="4.85546875" customWidth="1"/>
    <col min="14082" max="14082" width="49.7109375" customWidth="1"/>
    <col min="14083" max="14083" width="5.7109375" customWidth="1"/>
    <col min="14084" max="14084" width="8.5703125" customWidth="1"/>
    <col min="14337" max="14337" width="4.85546875" customWidth="1"/>
    <col min="14338" max="14338" width="49.7109375" customWidth="1"/>
    <col min="14339" max="14339" width="5.7109375" customWidth="1"/>
    <col min="14340" max="14340" width="8.5703125" customWidth="1"/>
    <col min="14593" max="14593" width="4.85546875" customWidth="1"/>
    <col min="14594" max="14594" width="49.7109375" customWidth="1"/>
    <col min="14595" max="14595" width="5.7109375" customWidth="1"/>
    <col min="14596" max="14596" width="8.5703125" customWidth="1"/>
    <col min="14849" max="14849" width="4.85546875" customWidth="1"/>
    <col min="14850" max="14850" width="49.7109375" customWidth="1"/>
    <col min="14851" max="14851" width="5.7109375" customWidth="1"/>
    <col min="14852" max="14852" width="8.5703125" customWidth="1"/>
    <col min="15105" max="15105" width="4.85546875" customWidth="1"/>
    <col min="15106" max="15106" width="49.7109375" customWidth="1"/>
    <col min="15107" max="15107" width="5.7109375" customWidth="1"/>
    <col min="15108" max="15108" width="8.5703125" customWidth="1"/>
    <col min="15361" max="15361" width="4.85546875" customWidth="1"/>
    <col min="15362" max="15362" width="49.7109375" customWidth="1"/>
    <col min="15363" max="15363" width="5.7109375" customWidth="1"/>
    <col min="15364" max="15364" width="8.5703125" customWidth="1"/>
    <col min="15617" max="15617" width="4.85546875" customWidth="1"/>
    <col min="15618" max="15618" width="49.7109375" customWidth="1"/>
    <col min="15619" max="15619" width="5.7109375" customWidth="1"/>
    <col min="15620" max="15620" width="8.5703125" customWidth="1"/>
    <col min="15873" max="15873" width="4.85546875" customWidth="1"/>
    <col min="15874" max="15874" width="49.7109375" customWidth="1"/>
    <col min="15875" max="15875" width="5.7109375" customWidth="1"/>
    <col min="15876" max="15876" width="8.5703125" customWidth="1"/>
    <col min="16129" max="16129" width="4.85546875" customWidth="1"/>
    <col min="16130" max="16130" width="49.7109375" customWidth="1"/>
    <col min="16131" max="16131" width="5.7109375" customWidth="1"/>
    <col min="16132" max="16132" width="8.5703125" customWidth="1"/>
  </cols>
  <sheetData>
    <row r="1" spans="1:11" ht="31.5" customHeight="1" x14ac:dyDescent="0.25">
      <c r="B1" s="140" t="s">
        <v>248</v>
      </c>
    </row>
    <row r="2" spans="1:11" x14ac:dyDescent="0.25">
      <c r="B2" s="140" t="s">
        <v>29</v>
      </c>
    </row>
    <row r="4" spans="1:11" x14ac:dyDescent="0.25">
      <c r="B4" t="s">
        <v>141</v>
      </c>
    </row>
    <row r="5" spans="1:11" x14ac:dyDescent="0.25">
      <c r="A5" s="749" t="s">
        <v>383</v>
      </c>
      <c r="B5" s="749"/>
      <c r="C5" s="749"/>
      <c r="D5" s="749"/>
      <c r="E5" s="749"/>
      <c r="F5" s="749"/>
    </row>
    <row r="7" spans="1:11" ht="15.75" thickBot="1" x14ac:dyDescent="0.3">
      <c r="A7" s="749" t="s">
        <v>142</v>
      </c>
      <c r="B7" s="749"/>
      <c r="C7" s="749"/>
      <c r="D7" s="749"/>
    </row>
    <row r="8" spans="1:11" ht="16.5" hidden="1" thickBot="1" x14ac:dyDescent="0.3">
      <c r="A8" s="506"/>
      <c r="B8" s="23" t="s">
        <v>11</v>
      </c>
      <c r="C8" s="10">
        <v>4.5019</v>
      </c>
      <c r="D8" s="504" t="s">
        <v>10</v>
      </c>
      <c r="E8" s="504"/>
      <c r="F8" s="505" t="s">
        <v>671</v>
      </c>
      <c r="G8" s="505"/>
    </row>
    <row r="9" spans="1:11" ht="27" thickBot="1" x14ac:dyDescent="0.3">
      <c r="A9" s="78" t="s">
        <v>143</v>
      </c>
      <c r="B9" s="79" t="s">
        <v>144</v>
      </c>
      <c r="C9" s="80" t="s">
        <v>37</v>
      </c>
      <c r="D9" s="80" t="s">
        <v>38</v>
      </c>
      <c r="E9" s="80" t="s">
        <v>683</v>
      </c>
      <c r="F9" s="221" t="s">
        <v>684</v>
      </c>
      <c r="G9" s="221" t="s">
        <v>375</v>
      </c>
    </row>
    <row r="10" spans="1:11" x14ac:dyDescent="0.25">
      <c r="A10" s="529">
        <v>0</v>
      </c>
      <c r="B10" s="530">
        <v>1</v>
      </c>
      <c r="C10" s="530">
        <v>2</v>
      </c>
      <c r="D10" s="530">
        <v>3</v>
      </c>
      <c r="E10" s="322">
        <v>4</v>
      </c>
      <c r="F10" s="531">
        <v>5</v>
      </c>
      <c r="G10" s="531">
        <v>6</v>
      </c>
    </row>
    <row r="11" spans="1:11" x14ac:dyDescent="0.25">
      <c r="A11" s="737" t="s">
        <v>145</v>
      </c>
      <c r="B11" s="738"/>
      <c r="C11" s="738"/>
      <c r="D11" s="738"/>
      <c r="E11" s="739"/>
      <c r="F11" s="528">
        <f>SUM(F12:F13)</f>
        <v>15126.384000000002</v>
      </c>
      <c r="G11" s="528">
        <f>SUM(G12:G13)</f>
        <v>3360</v>
      </c>
      <c r="K11">
        <f>F11/C8</f>
        <v>3360.0000000000005</v>
      </c>
    </row>
    <row r="12" spans="1:11" ht="45" x14ac:dyDescent="0.25">
      <c r="A12" s="533">
        <v>1.1000000000000001</v>
      </c>
      <c r="B12" s="532" t="s">
        <v>376</v>
      </c>
      <c r="C12" s="534" t="s">
        <v>146</v>
      </c>
      <c r="D12" s="286">
        <v>30</v>
      </c>
      <c r="E12" s="286">
        <f>12*C8</f>
        <v>54.022800000000004</v>
      </c>
      <c r="F12" s="286">
        <f>D12*E12</f>
        <v>1620.6840000000002</v>
      </c>
      <c r="G12" s="286">
        <f>F12/C8</f>
        <v>360.00000000000006</v>
      </c>
    </row>
    <row r="13" spans="1:11" x14ac:dyDescent="0.25">
      <c r="A13" s="533">
        <v>1.2</v>
      </c>
      <c r="B13" s="532" t="s">
        <v>242</v>
      </c>
      <c r="C13" s="534" t="s">
        <v>243</v>
      </c>
      <c r="D13" s="286">
        <v>3000</v>
      </c>
      <c r="E13" s="286">
        <f>1*C8</f>
        <v>4.5019</v>
      </c>
      <c r="F13" s="286">
        <f>D13*E13</f>
        <v>13505.7</v>
      </c>
      <c r="G13" s="286">
        <f>F13/C8</f>
        <v>3000</v>
      </c>
    </row>
    <row r="14" spans="1:11" x14ac:dyDescent="0.25">
      <c r="A14" s="514" t="s">
        <v>377</v>
      </c>
      <c r="B14" s="515"/>
      <c r="C14" s="515"/>
      <c r="D14" s="515"/>
      <c r="E14" s="516"/>
      <c r="F14" s="528">
        <f>SUM(F15:F27)</f>
        <v>78963.326000000001</v>
      </c>
      <c r="G14" s="528">
        <f>SUM(G15:G27)</f>
        <v>17540</v>
      </c>
    </row>
    <row r="15" spans="1:11" ht="45" x14ac:dyDescent="0.25">
      <c r="A15" s="533">
        <v>2.1</v>
      </c>
      <c r="B15" s="532" t="s">
        <v>148</v>
      </c>
      <c r="C15" s="534" t="s">
        <v>146</v>
      </c>
      <c r="D15" s="286">
        <v>20</v>
      </c>
      <c r="E15" s="286">
        <f>7*C8</f>
        <v>31.513300000000001</v>
      </c>
      <c r="F15" s="286">
        <f t="shared" ref="F15:F27" si="0">D15*E15</f>
        <v>630.26600000000008</v>
      </c>
      <c r="G15" s="286">
        <f>F15/C8</f>
        <v>140.00000000000003</v>
      </c>
    </row>
    <row r="16" spans="1:11" ht="30" x14ac:dyDescent="0.25">
      <c r="A16" s="533">
        <v>2.2000000000000002</v>
      </c>
      <c r="B16" s="532" t="s">
        <v>149</v>
      </c>
      <c r="C16" s="534" t="s">
        <v>146</v>
      </c>
      <c r="D16" s="286">
        <v>40</v>
      </c>
      <c r="E16" s="286">
        <f>6*C8</f>
        <v>27.011400000000002</v>
      </c>
      <c r="F16" s="286">
        <f t="shared" si="0"/>
        <v>1080.4560000000001</v>
      </c>
      <c r="G16" s="286">
        <f>F16/C8</f>
        <v>240.00000000000003</v>
      </c>
    </row>
    <row r="17" spans="1:7" ht="30" x14ac:dyDescent="0.25">
      <c r="A17" s="533">
        <v>2.2999999999999998</v>
      </c>
      <c r="B17" s="532" t="s">
        <v>150</v>
      </c>
      <c r="C17" s="534" t="s">
        <v>146</v>
      </c>
      <c r="D17" s="286">
        <v>5</v>
      </c>
      <c r="E17" s="286">
        <f>4*C8</f>
        <v>18.0076</v>
      </c>
      <c r="F17" s="286">
        <f t="shared" si="0"/>
        <v>90.037999999999997</v>
      </c>
      <c r="G17" s="286">
        <f>F17/C8</f>
        <v>20</v>
      </c>
    </row>
    <row r="18" spans="1:7" ht="30" x14ac:dyDescent="0.25">
      <c r="A18" s="533">
        <v>2.4</v>
      </c>
      <c r="B18" s="532" t="s">
        <v>151</v>
      </c>
      <c r="C18" s="534" t="s">
        <v>146</v>
      </c>
      <c r="D18" s="286">
        <v>20</v>
      </c>
      <c r="E18" s="286">
        <f>70*C8</f>
        <v>315.13299999999998</v>
      </c>
      <c r="F18" s="286">
        <f t="shared" si="0"/>
        <v>6302.66</v>
      </c>
      <c r="G18" s="286">
        <f>F18/C8</f>
        <v>1400</v>
      </c>
    </row>
    <row r="19" spans="1:7" ht="25.5" customHeight="1" x14ac:dyDescent="0.25">
      <c r="A19" s="533">
        <f>A18+0.1</f>
        <v>2.5</v>
      </c>
      <c r="B19" s="532" t="s">
        <v>152</v>
      </c>
      <c r="C19" s="534" t="s">
        <v>146</v>
      </c>
      <c r="D19" s="286">
        <v>20</v>
      </c>
      <c r="E19" s="286">
        <f>80*C8</f>
        <v>360.15199999999999</v>
      </c>
      <c r="F19" s="286">
        <f t="shared" si="0"/>
        <v>7203.04</v>
      </c>
      <c r="G19" s="286">
        <f>F19/C8</f>
        <v>1600</v>
      </c>
    </row>
    <row r="20" spans="1:7" ht="30" x14ac:dyDescent="0.25">
      <c r="A20" s="533">
        <f>A19+0.1</f>
        <v>2.6</v>
      </c>
      <c r="B20" s="532" t="s">
        <v>378</v>
      </c>
      <c r="C20" s="534" t="s">
        <v>153</v>
      </c>
      <c r="D20" s="286">
        <v>20</v>
      </c>
      <c r="E20" s="286">
        <f>1.6*C8</f>
        <v>7.2030400000000006</v>
      </c>
      <c r="F20" s="286">
        <f t="shared" si="0"/>
        <v>144.0608</v>
      </c>
      <c r="G20" s="286">
        <f>F20/C8</f>
        <v>32</v>
      </c>
    </row>
    <row r="21" spans="1:7" ht="30" x14ac:dyDescent="0.25">
      <c r="A21" s="533">
        <f>A20+0.1</f>
        <v>2.7</v>
      </c>
      <c r="B21" s="532" t="s">
        <v>154</v>
      </c>
      <c r="C21" s="534" t="s">
        <v>146</v>
      </c>
      <c r="D21" s="286">
        <v>20</v>
      </c>
      <c r="E21" s="286">
        <f>8*C8</f>
        <v>36.0152</v>
      </c>
      <c r="F21" s="286">
        <f t="shared" si="0"/>
        <v>720.30399999999997</v>
      </c>
      <c r="G21" s="286">
        <f>F21/C8</f>
        <v>160</v>
      </c>
    </row>
    <row r="22" spans="1:7" ht="30" x14ac:dyDescent="0.25">
      <c r="A22" s="533">
        <f>A21+0.1</f>
        <v>2.8000000000000003</v>
      </c>
      <c r="B22" s="532" t="s">
        <v>155</v>
      </c>
      <c r="C22" s="534" t="s">
        <v>147</v>
      </c>
      <c r="D22" s="535">
        <v>500</v>
      </c>
      <c r="E22" s="286">
        <f>0.8*C8</f>
        <v>3.6015200000000003</v>
      </c>
      <c r="F22" s="286">
        <f t="shared" si="0"/>
        <v>1800.7600000000002</v>
      </c>
      <c r="G22" s="286">
        <f>F22/C8</f>
        <v>400.00000000000006</v>
      </c>
    </row>
    <row r="23" spans="1:7" ht="30" x14ac:dyDescent="0.25">
      <c r="A23" s="536" t="s">
        <v>156</v>
      </c>
      <c r="B23" s="532" t="s">
        <v>157</v>
      </c>
      <c r="C23" s="534" t="s">
        <v>147</v>
      </c>
      <c r="D23" s="535">
        <v>1500</v>
      </c>
      <c r="E23" s="286">
        <f>0.8*C8</f>
        <v>3.6015200000000003</v>
      </c>
      <c r="F23" s="286">
        <f t="shared" si="0"/>
        <v>5402.2800000000007</v>
      </c>
      <c r="G23" s="286">
        <f>F23/C8</f>
        <v>1200.0000000000002</v>
      </c>
    </row>
    <row r="24" spans="1:7" ht="25.5" customHeight="1" x14ac:dyDescent="0.25">
      <c r="A24" s="536" t="s">
        <v>158</v>
      </c>
      <c r="B24" s="537" t="s">
        <v>159</v>
      </c>
      <c r="C24" s="534" t="s">
        <v>147</v>
      </c>
      <c r="D24" s="538">
        <v>300</v>
      </c>
      <c r="E24" s="286">
        <f>1*C8</f>
        <v>4.5019</v>
      </c>
      <c r="F24" s="286">
        <f t="shared" si="0"/>
        <v>1350.57</v>
      </c>
      <c r="G24" s="286">
        <f>F24/C8</f>
        <v>300</v>
      </c>
    </row>
    <row r="25" spans="1:7" ht="13.5" customHeight="1" x14ac:dyDescent="0.25">
      <c r="A25" s="536" t="s">
        <v>160</v>
      </c>
      <c r="B25" s="537" t="s">
        <v>161</v>
      </c>
      <c r="C25" s="534" t="s">
        <v>162</v>
      </c>
      <c r="D25" s="539">
        <v>0.3</v>
      </c>
      <c r="E25" s="286">
        <f>160*C8</f>
        <v>720.30399999999997</v>
      </c>
      <c r="F25" s="286">
        <f t="shared" si="0"/>
        <v>216.09119999999999</v>
      </c>
      <c r="G25" s="286">
        <f>F25/C8</f>
        <v>48</v>
      </c>
    </row>
    <row r="26" spans="1:7" ht="13.5" customHeight="1" x14ac:dyDescent="0.25">
      <c r="A26" s="536" t="s">
        <v>163</v>
      </c>
      <c r="B26" s="532" t="s">
        <v>379</v>
      </c>
      <c r="C26" s="534" t="s">
        <v>153</v>
      </c>
      <c r="D26" s="286">
        <v>150</v>
      </c>
      <c r="E26" s="286">
        <f>20*C8</f>
        <v>90.037999999999997</v>
      </c>
      <c r="F26" s="286">
        <f t="shared" si="0"/>
        <v>13505.699999999999</v>
      </c>
      <c r="G26" s="286">
        <f>F26/C8</f>
        <v>2999.9999999999995</v>
      </c>
    </row>
    <row r="27" spans="1:7" ht="13.5" customHeight="1" x14ac:dyDescent="0.25">
      <c r="A27" s="536" t="s">
        <v>164</v>
      </c>
      <c r="B27" s="532" t="s">
        <v>380</v>
      </c>
      <c r="C27" s="534" t="s">
        <v>146</v>
      </c>
      <c r="D27" s="286">
        <v>100</v>
      </c>
      <c r="E27" s="286">
        <f>90*C8</f>
        <v>405.17099999999999</v>
      </c>
      <c r="F27" s="286">
        <f t="shared" si="0"/>
        <v>40517.1</v>
      </c>
      <c r="G27" s="286">
        <f>F27/C8</f>
        <v>9000</v>
      </c>
    </row>
    <row r="28" spans="1:7" x14ac:dyDescent="0.25">
      <c r="A28" s="514" t="s">
        <v>165</v>
      </c>
      <c r="B28" s="515"/>
      <c r="C28" s="515"/>
      <c r="D28" s="515"/>
      <c r="E28" s="516"/>
      <c r="F28" s="528">
        <f>SUM(F29:F38)</f>
        <v>91762.227700000018</v>
      </c>
      <c r="G28" s="528">
        <f>SUM(G29:G38)</f>
        <v>20383</v>
      </c>
    </row>
    <row r="29" spans="1:7" ht="28.5" customHeight="1" x14ac:dyDescent="0.25">
      <c r="A29" s="533">
        <v>3.1</v>
      </c>
      <c r="B29" s="532" t="s">
        <v>166</v>
      </c>
      <c r="C29" s="534" t="s">
        <v>146</v>
      </c>
      <c r="D29" s="286">
        <v>50</v>
      </c>
      <c r="E29" s="286">
        <f>85*C8</f>
        <v>382.66149999999999</v>
      </c>
      <c r="F29" s="286">
        <f t="shared" ref="F29:F38" si="1">D29*E29</f>
        <v>19133.075000000001</v>
      </c>
      <c r="G29" s="286">
        <f>F29/C8</f>
        <v>4250</v>
      </c>
    </row>
    <row r="30" spans="1:7" ht="30" x14ac:dyDescent="0.25">
      <c r="A30" s="533">
        <v>3.2</v>
      </c>
      <c r="B30" s="532" t="s">
        <v>167</v>
      </c>
      <c r="C30" s="534" t="s">
        <v>146</v>
      </c>
      <c r="D30" s="286">
        <v>5</v>
      </c>
      <c r="E30" s="286">
        <f>85*C8</f>
        <v>382.66149999999999</v>
      </c>
      <c r="F30" s="286">
        <f t="shared" ref="F30" si="2">D30*E30</f>
        <v>1913.3074999999999</v>
      </c>
      <c r="G30" s="286">
        <f>F30/C8</f>
        <v>425</v>
      </c>
    </row>
    <row r="31" spans="1:7" x14ac:dyDescent="0.25">
      <c r="A31" s="533">
        <v>3.3</v>
      </c>
      <c r="B31" s="532" t="s">
        <v>168</v>
      </c>
      <c r="C31" s="534" t="s">
        <v>153</v>
      </c>
      <c r="D31" s="286">
        <v>20</v>
      </c>
      <c r="E31" s="286">
        <f>1.6*C8</f>
        <v>7.2030400000000006</v>
      </c>
      <c r="F31" s="286">
        <f t="shared" si="1"/>
        <v>144.0608</v>
      </c>
      <c r="G31" s="286">
        <f>F31/C8</f>
        <v>32</v>
      </c>
    </row>
    <row r="32" spans="1:7" ht="30" x14ac:dyDescent="0.25">
      <c r="A32" s="533">
        <v>3.4</v>
      </c>
      <c r="B32" s="532" t="s">
        <v>169</v>
      </c>
      <c r="C32" s="534" t="s">
        <v>153</v>
      </c>
      <c r="D32" s="286">
        <v>160</v>
      </c>
      <c r="E32" s="286">
        <f>1.6*C8</f>
        <v>7.2030400000000006</v>
      </c>
      <c r="F32" s="286">
        <f t="shared" si="1"/>
        <v>1152.4864</v>
      </c>
      <c r="G32" s="286">
        <f>F32/C8</f>
        <v>256</v>
      </c>
    </row>
    <row r="33" spans="1:7" x14ac:dyDescent="0.25">
      <c r="A33" s="533">
        <v>3.5</v>
      </c>
      <c r="B33" s="532" t="s">
        <v>30</v>
      </c>
      <c r="C33" s="534" t="s">
        <v>147</v>
      </c>
      <c r="D33" s="286">
        <v>2000</v>
      </c>
      <c r="E33" s="286">
        <f>0.8*C8</f>
        <v>3.6015200000000003</v>
      </c>
      <c r="F33" s="286">
        <f t="shared" si="1"/>
        <v>7203.0400000000009</v>
      </c>
      <c r="G33" s="286">
        <f>F33/C8</f>
        <v>1600.0000000000002</v>
      </c>
    </row>
    <row r="34" spans="1:7" x14ac:dyDescent="0.25">
      <c r="A34" s="533">
        <v>3.6</v>
      </c>
      <c r="B34" s="532" t="s">
        <v>170</v>
      </c>
      <c r="C34" s="534" t="s">
        <v>147</v>
      </c>
      <c r="D34" s="538">
        <v>5000</v>
      </c>
      <c r="E34" s="286">
        <f>0.8*C8</f>
        <v>3.6015200000000003</v>
      </c>
      <c r="F34" s="286">
        <f t="shared" si="1"/>
        <v>18007.600000000002</v>
      </c>
      <c r="G34" s="286">
        <f>F34/C8</f>
        <v>4000.0000000000005</v>
      </c>
    </row>
    <row r="35" spans="1:7" ht="30" x14ac:dyDescent="0.25">
      <c r="A35" s="533">
        <v>3.7</v>
      </c>
      <c r="B35" s="532" t="s">
        <v>381</v>
      </c>
      <c r="C35" s="534" t="s">
        <v>153</v>
      </c>
      <c r="D35" s="286">
        <v>20</v>
      </c>
      <c r="E35" s="286">
        <f>5*C8</f>
        <v>22.509499999999999</v>
      </c>
      <c r="F35" s="286">
        <f t="shared" si="1"/>
        <v>450.19</v>
      </c>
      <c r="G35" s="286">
        <f>F35/C8</f>
        <v>100</v>
      </c>
    </row>
    <row r="36" spans="1:7" x14ac:dyDescent="0.25">
      <c r="A36" s="533">
        <v>3.8</v>
      </c>
      <c r="B36" s="532" t="s">
        <v>171</v>
      </c>
      <c r="C36" s="534" t="s">
        <v>147</v>
      </c>
      <c r="D36" s="286">
        <v>7000</v>
      </c>
      <c r="E36" s="286">
        <f>1*C8</f>
        <v>4.5019</v>
      </c>
      <c r="F36" s="286">
        <f t="shared" si="1"/>
        <v>31513.3</v>
      </c>
      <c r="G36" s="286">
        <f>F36/C8</f>
        <v>7000</v>
      </c>
    </row>
    <row r="37" spans="1:7" x14ac:dyDescent="0.25">
      <c r="A37" s="533">
        <v>3.9</v>
      </c>
      <c r="B37" s="532" t="s">
        <v>172</v>
      </c>
      <c r="C37" s="534" t="s">
        <v>162</v>
      </c>
      <c r="D37" s="286">
        <v>9.5</v>
      </c>
      <c r="E37" s="286">
        <f>160*C8</f>
        <v>720.30399999999997</v>
      </c>
      <c r="F37" s="286">
        <f t="shared" si="1"/>
        <v>6842.8879999999999</v>
      </c>
      <c r="G37" s="286">
        <f>F37/C8</f>
        <v>1520</v>
      </c>
    </row>
    <row r="38" spans="1:7" x14ac:dyDescent="0.25">
      <c r="A38" s="533">
        <v>3.1</v>
      </c>
      <c r="B38" s="532" t="s">
        <v>173</v>
      </c>
      <c r="C38" s="534" t="s">
        <v>147</v>
      </c>
      <c r="D38" s="286">
        <v>1200</v>
      </c>
      <c r="E38" s="286">
        <f>1*C8</f>
        <v>4.5019</v>
      </c>
      <c r="F38" s="286">
        <f t="shared" si="1"/>
        <v>5402.28</v>
      </c>
      <c r="G38" s="286">
        <f>F38/C8</f>
        <v>1200</v>
      </c>
    </row>
    <row r="39" spans="1:7" x14ac:dyDescent="0.25">
      <c r="A39" s="514" t="s">
        <v>174</v>
      </c>
      <c r="B39" s="515"/>
      <c r="C39" s="515"/>
      <c r="D39" s="515"/>
      <c r="E39" s="516"/>
      <c r="F39" s="528">
        <f>SUM(F40:F44)</f>
        <v>19223.112999999998</v>
      </c>
      <c r="G39" s="528">
        <f>SUM(G40:G44)</f>
        <v>4270</v>
      </c>
    </row>
    <row r="40" spans="1:7" ht="45" x14ac:dyDescent="0.25">
      <c r="A40" s="533">
        <v>4.0999999999999996</v>
      </c>
      <c r="B40" s="532" t="s">
        <v>175</v>
      </c>
      <c r="C40" s="534" t="s">
        <v>153</v>
      </c>
      <c r="D40" s="286">
        <v>372</v>
      </c>
      <c r="E40" s="286">
        <f>5*C8</f>
        <v>22.509499999999999</v>
      </c>
      <c r="F40" s="286">
        <f>D40*E40</f>
        <v>8373.5339999999997</v>
      </c>
      <c r="G40" s="286">
        <f>F40/C8</f>
        <v>1860</v>
      </c>
    </row>
    <row r="41" spans="1:7" ht="30" x14ac:dyDescent="0.25">
      <c r="A41" s="533">
        <v>4.3</v>
      </c>
      <c r="B41" s="532" t="s">
        <v>176</v>
      </c>
      <c r="C41" s="534" t="s">
        <v>147</v>
      </c>
      <c r="D41" s="286">
        <v>1000</v>
      </c>
      <c r="E41" s="286">
        <f>1*C8</f>
        <v>4.5019</v>
      </c>
      <c r="F41" s="286">
        <f>D41*E41</f>
        <v>4501.8999999999996</v>
      </c>
      <c r="G41" s="286">
        <f>F41/C8</f>
        <v>999.99999999999989</v>
      </c>
    </row>
    <row r="42" spans="1:7" x14ac:dyDescent="0.25">
      <c r="A42" s="533">
        <v>4.4000000000000004</v>
      </c>
      <c r="B42" s="532" t="s">
        <v>177</v>
      </c>
      <c r="C42" s="534" t="s">
        <v>162</v>
      </c>
      <c r="D42" s="540">
        <v>0.5</v>
      </c>
      <c r="E42" s="286">
        <f>160*C8</f>
        <v>720.30399999999997</v>
      </c>
      <c r="F42" s="286">
        <f>D42*E42</f>
        <v>360.15199999999999</v>
      </c>
      <c r="G42" s="286">
        <f>F42/C8</f>
        <v>80</v>
      </c>
    </row>
    <row r="43" spans="1:7" x14ac:dyDescent="0.25">
      <c r="A43" s="533">
        <v>4.5</v>
      </c>
      <c r="B43" s="532" t="s">
        <v>178</v>
      </c>
      <c r="C43" s="534" t="s">
        <v>153</v>
      </c>
      <c r="D43" s="540">
        <v>70</v>
      </c>
      <c r="E43" s="286">
        <f>4*C8</f>
        <v>18.0076</v>
      </c>
      <c r="F43" s="286">
        <f>D43*E43</f>
        <v>1260.5319999999999</v>
      </c>
      <c r="G43" s="286">
        <f>F43/C8</f>
        <v>280</v>
      </c>
    </row>
    <row r="44" spans="1:7" ht="30" x14ac:dyDescent="0.25">
      <c r="A44" s="533"/>
      <c r="B44" s="532" t="s">
        <v>179</v>
      </c>
      <c r="C44" s="534" t="s">
        <v>153</v>
      </c>
      <c r="D44" s="540">
        <v>10</v>
      </c>
      <c r="E44" s="286">
        <f>105*C8</f>
        <v>472.6995</v>
      </c>
      <c r="F44" s="286">
        <f>D44*E44</f>
        <v>4726.9949999999999</v>
      </c>
      <c r="G44" s="286">
        <f>F44/C8</f>
        <v>1050</v>
      </c>
    </row>
    <row r="45" spans="1:7" x14ac:dyDescent="0.25">
      <c r="A45" s="541">
        <v>5</v>
      </c>
      <c r="B45" s="743" t="s">
        <v>180</v>
      </c>
      <c r="C45" s="744"/>
      <c r="D45" s="744"/>
      <c r="E45" s="745"/>
      <c r="F45" s="528">
        <f>SUM(F46:F54)</f>
        <v>9453.99</v>
      </c>
      <c r="G45" s="528">
        <f>SUM(G46:G54)</f>
        <v>2100</v>
      </c>
    </row>
    <row r="46" spans="1:7" ht="39" x14ac:dyDescent="0.25">
      <c r="A46" s="542">
        <v>5.0999999999999996</v>
      </c>
      <c r="B46" s="389" t="s">
        <v>148</v>
      </c>
      <c r="C46" s="543" t="s">
        <v>146</v>
      </c>
      <c r="D46" s="544">
        <v>10</v>
      </c>
      <c r="E46" s="538">
        <f>7*C8</f>
        <v>31.513300000000001</v>
      </c>
      <c r="F46" s="538">
        <f t="shared" ref="F46:F54" si="3">D46*E46</f>
        <v>315.13300000000004</v>
      </c>
      <c r="G46" s="538">
        <f>F46/C8</f>
        <v>70.000000000000014</v>
      </c>
    </row>
    <row r="47" spans="1:7" ht="30" x14ac:dyDescent="0.25">
      <c r="A47" s="542">
        <v>5.2</v>
      </c>
      <c r="B47" s="532" t="s">
        <v>151</v>
      </c>
      <c r="C47" s="543" t="s">
        <v>146</v>
      </c>
      <c r="D47" s="545">
        <v>10</v>
      </c>
      <c r="E47" s="545">
        <f>70*C8</f>
        <v>315.13299999999998</v>
      </c>
      <c r="F47" s="545">
        <f t="shared" si="3"/>
        <v>3151.33</v>
      </c>
      <c r="G47" s="538">
        <f>F47/C8</f>
        <v>700</v>
      </c>
    </row>
    <row r="48" spans="1:7" ht="27" customHeight="1" x14ac:dyDescent="0.25">
      <c r="A48" s="542">
        <v>5.3</v>
      </c>
      <c r="B48" s="532" t="s">
        <v>181</v>
      </c>
      <c r="C48" s="543" t="s">
        <v>146</v>
      </c>
      <c r="D48" s="544">
        <v>5</v>
      </c>
      <c r="E48" s="538">
        <f>80*C8</f>
        <v>360.15199999999999</v>
      </c>
      <c r="F48" s="538">
        <f t="shared" si="3"/>
        <v>1800.76</v>
      </c>
      <c r="G48" s="538">
        <f>F48/C8</f>
        <v>400</v>
      </c>
    </row>
    <row r="49" spans="1:7" ht="30" x14ac:dyDescent="0.25">
      <c r="A49" s="542">
        <v>5.4</v>
      </c>
      <c r="B49" s="532" t="s">
        <v>157</v>
      </c>
      <c r="C49" s="534" t="s">
        <v>147</v>
      </c>
      <c r="D49" s="544">
        <v>300</v>
      </c>
      <c r="E49" s="538">
        <f>0.8*C8</f>
        <v>3.6015200000000003</v>
      </c>
      <c r="F49" s="538">
        <f t="shared" si="3"/>
        <v>1080.4560000000001</v>
      </c>
      <c r="G49" s="538">
        <f>F49/C8</f>
        <v>240.00000000000003</v>
      </c>
    </row>
    <row r="50" spans="1:7" x14ac:dyDescent="0.25">
      <c r="A50" s="542">
        <v>5.5</v>
      </c>
      <c r="B50" s="389" t="s">
        <v>182</v>
      </c>
      <c r="C50" s="543" t="s">
        <v>153</v>
      </c>
      <c r="D50" s="544">
        <v>7</v>
      </c>
      <c r="E50" s="538">
        <f>6*C8</f>
        <v>27.011400000000002</v>
      </c>
      <c r="F50" s="538">
        <f t="shared" si="3"/>
        <v>189.07980000000001</v>
      </c>
      <c r="G50" s="538">
        <f>F50/C8</f>
        <v>42</v>
      </c>
    </row>
    <row r="51" spans="1:7" x14ac:dyDescent="0.25">
      <c r="A51" s="542">
        <v>5.6</v>
      </c>
      <c r="B51" s="532" t="s">
        <v>183</v>
      </c>
      <c r="C51" s="534" t="s">
        <v>153</v>
      </c>
      <c r="D51" s="544">
        <v>30</v>
      </c>
      <c r="E51" s="538">
        <f>1.5*C8</f>
        <v>6.7528500000000005</v>
      </c>
      <c r="F51" s="538">
        <f t="shared" si="3"/>
        <v>202.58550000000002</v>
      </c>
      <c r="G51" s="538">
        <f>F51/C8</f>
        <v>45.000000000000007</v>
      </c>
    </row>
    <row r="52" spans="1:7" x14ac:dyDescent="0.25">
      <c r="A52" s="542">
        <v>5.7</v>
      </c>
      <c r="B52" s="532" t="s">
        <v>184</v>
      </c>
      <c r="C52" s="534" t="s">
        <v>153</v>
      </c>
      <c r="D52" s="544">
        <v>10</v>
      </c>
      <c r="E52" s="538">
        <f>0.25*C8</f>
        <v>1.125475</v>
      </c>
      <c r="F52" s="538">
        <f t="shared" si="3"/>
        <v>11.25475</v>
      </c>
      <c r="G52" s="538">
        <f>F52/C8</f>
        <v>2.5</v>
      </c>
    </row>
    <row r="53" spans="1:7" ht="13.5" customHeight="1" x14ac:dyDescent="0.25">
      <c r="A53" s="542">
        <v>5.8</v>
      </c>
      <c r="B53" s="389" t="s">
        <v>185</v>
      </c>
      <c r="C53" s="543" t="s">
        <v>147</v>
      </c>
      <c r="D53" s="544">
        <v>230</v>
      </c>
      <c r="E53" s="538">
        <f>2*C8</f>
        <v>9.0038</v>
      </c>
      <c r="F53" s="538">
        <f t="shared" si="3"/>
        <v>2070.8739999999998</v>
      </c>
      <c r="G53" s="538">
        <f>F53/C8</f>
        <v>459.99999999999994</v>
      </c>
    </row>
    <row r="54" spans="1:7" x14ac:dyDescent="0.25">
      <c r="A54" s="542">
        <v>5.9</v>
      </c>
      <c r="B54" s="532" t="s">
        <v>242</v>
      </c>
      <c r="C54" s="534" t="s">
        <v>243</v>
      </c>
      <c r="D54" s="544">
        <v>140.5</v>
      </c>
      <c r="E54" s="286">
        <f>1*C8</f>
        <v>4.5019</v>
      </c>
      <c r="F54" s="286">
        <f t="shared" si="3"/>
        <v>632.51694999999995</v>
      </c>
      <c r="G54" s="538">
        <f>F54/C8</f>
        <v>140.5</v>
      </c>
    </row>
    <row r="55" spans="1:7" x14ac:dyDescent="0.25">
      <c r="A55" s="737" t="s">
        <v>186</v>
      </c>
      <c r="B55" s="738"/>
      <c r="C55" s="738"/>
      <c r="D55" s="738"/>
      <c r="E55" s="739"/>
      <c r="F55" s="528">
        <f>SUM(F56:F61)</f>
        <v>19889.394199999999</v>
      </c>
      <c r="G55" s="528">
        <f>SUM(G56:G61)</f>
        <v>4418</v>
      </c>
    </row>
    <row r="56" spans="1:7" ht="45" x14ac:dyDescent="0.25">
      <c r="A56" s="533">
        <v>6.1</v>
      </c>
      <c r="B56" s="532" t="s">
        <v>187</v>
      </c>
      <c r="C56" s="534" t="s">
        <v>146</v>
      </c>
      <c r="D56" s="286">
        <v>150</v>
      </c>
      <c r="E56" s="286">
        <f>7*C8</f>
        <v>31.513300000000001</v>
      </c>
      <c r="F56" s="286">
        <f t="shared" ref="F56:F61" si="4">D56*E56</f>
        <v>4726.9949999999999</v>
      </c>
      <c r="G56" s="286">
        <f>F56/C8</f>
        <v>1050</v>
      </c>
    </row>
    <row r="57" spans="1:7" ht="30" x14ac:dyDescent="0.25">
      <c r="A57" s="533">
        <v>6.2</v>
      </c>
      <c r="B57" s="532" t="s">
        <v>188</v>
      </c>
      <c r="C57" s="534" t="s">
        <v>146</v>
      </c>
      <c r="D57" s="286">
        <v>140</v>
      </c>
      <c r="E57" s="286">
        <f>4*C8</f>
        <v>18.0076</v>
      </c>
      <c r="F57" s="286">
        <f t="shared" si="4"/>
        <v>2521.0639999999999</v>
      </c>
      <c r="G57" s="286">
        <f>F57/C8</f>
        <v>560</v>
      </c>
    </row>
    <row r="58" spans="1:7" ht="30" x14ac:dyDescent="0.25">
      <c r="A58" s="533">
        <v>6.3</v>
      </c>
      <c r="B58" s="532" t="s">
        <v>189</v>
      </c>
      <c r="C58" s="534" t="s">
        <v>146</v>
      </c>
      <c r="D58" s="286">
        <v>10</v>
      </c>
      <c r="E58" s="286">
        <f>1.8*C8</f>
        <v>8.1034199999999998</v>
      </c>
      <c r="F58" s="286">
        <f t="shared" si="4"/>
        <v>81.034199999999998</v>
      </c>
      <c r="G58" s="286">
        <f>F58/C8</f>
        <v>18</v>
      </c>
    </row>
    <row r="59" spans="1:7" ht="27.75" customHeight="1" x14ac:dyDescent="0.25">
      <c r="A59" s="533">
        <v>6.4</v>
      </c>
      <c r="B59" s="532" t="s">
        <v>190</v>
      </c>
      <c r="C59" s="534" t="s">
        <v>153</v>
      </c>
      <c r="D59" s="286">
        <v>150</v>
      </c>
      <c r="E59" s="286">
        <f>5.6*C8</f>
        <v>25.210639999999998</v>
      </c>
      <c r="F59" s="286">
        <f t="shared" si="4"/>
        <v>3781.5959999999995</v>
      </c>
      <c r="G59" s="286">
        <f>F59/C8</f>
        <v>839.99999999999989</v>
      </c>
    </row>
    <row r="60" spans="1:7" ht="30" x14ac:dyDescent="0.25">
      <c r="A60" s="533">
        <v>6.5</v>
      </c>
      <c r="B60" s="532" t="s">
        <v>191</v>
      </c>
      <c r="C60" s="534" t="s">
        <v>153</v>
      </c>
      <c r="D60" s="286">
        <v>180</v>
      </c>
      <c r="E60" s="286">
        <f>2.5*C8</f>
        <v>11.25475</v>
      </c>
      <c r="F60" s="286">
        <f t="shared" si="4"/>
        <v>2025.855</v>
      </c>
      <c r="G60" s="286">
        <f>F60/C8</f>
        <v>450</v>
      </c>
    </row>
    <row r="61" spans="1:7" x14ac:dyDescent="0.25">
      <c r="A61" s="533">
        <v>6.6</v>
      </c>
      <c r="B61" s="532" t="s">
        <v>192</v>
      </c>
      <c r="C61" s="534" t="s">
        <v>193</v>
      </c>
      <c r="D61" s="286">
        <v>300</v>
      </c>
      <c r="E61" s="286">
        <f>5*C8</f>
        <v>22.509499999999999</v>
      </c>
      <c r="F61" s="286">
        <f t="shared" si="4"/>
        <v>6752.8499999999995</v>
      </c>
      <c r="G61" s="286">
        <f>F61/C8</f>
        <v>1499.9999999999998</v>
      </c>
    </row>
    <row r="62" spans="1:7" x14ac:dyDescent="0.25">
      <c r="A62" s="225"/>
      <c r="B62" s="746" t="s">
        <v>382</v>
      </c>
      <c r="C62" s="747"/>
      <c r="D62" s="747"/>
      <c r="E62" s="748"/>
      <c r="F62" s="528">
        <f>F11+F14+F28+F39+F45+F55</f>
        <v>234418.43490000002</v>
      </c>
      <c r="G62" s="528">
        <f>G11+G14+G28+G39+G45+G55</f>
        <v>52071</v>
      </c>
    </row>
    <row r="63" spans="1:7" x14ac:dyDescent="0.25">
      <c r="B63" s="84"/>
    </row>
    <row r="65" spans="2:2" x14ac:dyDescent="0.25">
      <c r="B65" s="136" t="s">
        <v>194</v>
      </c>
    </row>
    <row r="66" spans="2:2" x14ac:dyDescent="0.25">
      <c r="B66" s="137" t="s">
        <v>195</v>
      </c>
    </row>
    <row r="67" spans="2:2" x14ac:dyDescent="0.25">
      <c r="B67" s="230"/>
    </row>
  </sheetData>
  <mergeCells count="6">
    <mergeCell ref="B45:E45"/>
    <mergeCell ref="A55:E55"/>
    <mergeCell ref="B62:E62"/>
    <mergeCell ref="A5:F5"/>
    <mergeCell ref="A7:D7"/>
    <mergeCell ref="A11:E11"/>
  </mergeCell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105" zoomScaleNormal="100" workbookViewId="0">
      <selection activeCell="F115" sqref="A1:F115"/>
    </sheetView>
  </sheetViews>
  <sheetFormatPr defaultRowHeight="15" x14ac:dyDescent="0.25"/>
  <cols>
    <col min="1" max="1" width="9.42578125" bestFit="1" customWidth="1"/>
    <col min="2" max="2" width="45.85546875" customWidth="1"/>
    <col min="4" max="5" width="9.42578125" bestFit="1" customWidth="1"/>
    <col min="6" max="6" width="14.7109375" bestFit="1" customWidth="1"/>
    <col min="7" max="7" width="14.28515625" hidden="1" customWidth="1"/>
  </cols>
  <sheetData>
    <row r="1" spans="1:7" x14ac:dyDescent="0.25">
      <c r="A1" s="750" t="s">
        <v>248</v>
      </c>
      <c r="B1" s="750"/>
      <c r="C1" s="750"/>
      <c r="D1" s="750"/>
      <c r="E1" s="750"/>
      <c r="F1" s="750"/>
    </row>
    <row r="2" spans="1:7" x14ac:dyDescent="0.25">
      <c r="A2" s="750" t="s">
        <v>29</v>
      </c>
      <c r="B2" s="750"/>
      <c r="C2" s="750"/>
      <c r="D2" s="750"/>
      <c r="E2" s="750"/>
      <c r="F2" s="750"/>
    </row>
    <row r="3" spans="1:7" x14ac:dyDescent="0.25">
      <c r="A3" s="751" t="s">
        <v>141</v>
      </c>
      <c r="B3" s="751"/>
      <c r="C3" s="751"/>
      <c r="D3" s="751"/>
      <c r="E3" s="751"/>
      <c r="F3" s="751"/>
    </row>
    <row r="4" spans="1:7" x14ac:dyDescent="0.25">
      <c r="A4" s="749" t="s">
        <v>383</v>
      </c>
      <c r="B4" s="749"/>
      <c r="C4" s="749"/>
      <c r="D4" s="749"/>
      <c r="E4" s="749"/>
      <c r="F4" s="749"/>
    </row>
    <row r="5" spans="1:7" ht="15.75" thickBot="1" x14ac:dyDescent="0.3">
      <c r="A5" s="752" t="s">
        <v>384</v>
      </c>
      <c r="B5" s="752"/>
      <c r="C5" s="752"/>
      <c r="D5" s="752"/>
      <c r="E5" s="752"/>
      <c r="F5" s="752"/>
    </row>
    <row r="6" spans="1:7" ht="16.5" hidden="1" thickBot="1" x14ac:dyDescent="0.3">
      <c r="B6" s="23" t="s">
        <v>11</v>
      </c>
      <c r="C6" s="10">
        <v>4.5019</v>
      </c>
      <c r="D6" s="504" t="s">
        <v>10</v>
      </c>
      <c r="E6" s="504"/>
      <c r="F6" s="505" t="s">
        <v>671</v>
      </c>
      <c r="G6" s="505"/>
    </row>
    <row r="7" spans="1:7" ht="26.25" thickBot="1" x14ac:dyDescent="0.3">
      <c r="A7" s="233" t="s">
        <v>385</v>
      </c>
      <c r="B7" s="80" t="s">
        <v>386</v>
      </c>
      <c r="C7" s="80" t="s">
        <v>37</v>
      </c>
      <c r="D7" s="80" t="s">
        <v>38</v>
      </c>
      <c r="E7" s="80" t="s">
        <v>683</v>
      </c>
      <c r="F7" s="221" t="s">
        <v>684</v>
      </c>
      <c r="G7" s="221" t="s">
        <v>375</v>
      </c>
    </row>
    <row r="8" spans="1:7" ht="15.75" thickBot="1" x14ac:dyDescent="0.3">
      <c r="A8" s="234">
        <v>0</v>
      </c>
      <c r="B8" s="235">
        <v>1</v>
      </c>
      <c r="C8" s="235">
        <v>2</v>
      </c>
      <c r="D8" s="235">
        <v>3</v>
      </c>
      <c r="E8" s="235">
        <v>4</v>
      </c>
      <c r="F8" s="236">
        <v>5</v>
      </c>
      <c r="G8" s="236">
        <v>6</v>
      </c>
    </row>
    <row r="9" spans="1:7" x14ac:dyDescent="0.25">
      <c r="A9" s="237"/>
      <c r="B9" s="238" t="s">
        <v>387</v>
      </c>
      <c r="C9" s="239"/>
      <c r="D9" s="47"/>
      <c r="E9" s="47"/>
      <c r="F9" s="240">
        <f>SUM(F10:F28)</f>
        <v>19538.245999999996</v>
      </c>
      <c r="G9" s="240">
        <f>SUM(G10:G28)</f>
        <v>4340</v>
      </c>
    </row>
    <row r="10" spans="1:7" ht="27.75" customHeight="1" x14ac:dyDescent="0.25">
      <c r="A10" s="241">
        <v>1.1000000000000001</v>
      </c>
      <c r="B10" s="223" t="s">
        <v>388</v>
      </c>
      <c r="C10" s="242" t="s">
        <v>153</v>
      </c>
      <c r="D10" s="38">
        <v>250</v>
      </c>
      <c r="E10" s="38">
        <f>1*C6</f>
        <v>4.5019</v>
      </c>
      <c r="F10" s="213">
        <f t="shared" ref="F10:F28" si="0">D10*E10</f>
        <v>1125.4749999999999</v>
      </c>
      <c r="G10" s="213">
        <f>F10/C6</f>
        <v>249.99999999999997</v>
      </c>
    </row>
    <row r="11" spans="1:7" ht="30" x14ac:dyDescent="0.25">
      <c r="A11" s="241">
        <v>1.2</v>
      </c>
      <c r="B11" s="223" t="s">
        <v>389</v>
      </c>
      <c r="C11" s="242" t="s">
        <v>153</v>
      </c>
      <c r="D11" s="38">
        <v>50</v>
      </c>
      <c r="E11" s="38">
        <f>1*C6</f>
        <v>4.5019</v>
      </c>
      <c r="F11" s="213">
        <f t="shared" si="0"/>
        <v>225.095</v>
      </c>
      <c r="G11" s="213">
        <f>F11/C6</f>
        <v>50</v>
      </c>
    </row>
    <row r="12" spans="1:7" ht="45" x14ac:dyDescent="0.25">
      <c r="A12" s="241">
        <v>1.3</v>
      </c>
      <c r="B12" s="223" t="s">
        <v>390</v>
      </c>
      <c r="C12" s="242" t="s">
        <v>153</v>
      </c>
      <c r="D12" s="38">
        <v>60</v>
      </c>
      <c r="E12" s="38">
        <f>1*C6</f>
        <v>4.5019</v>
      </c>
      <c r="F12" s="213">
        <f t="shared" si="0"/>
        <v>270.11399999999998</v>
      </c>
      <c r="G12" s="213">
        <f>F12/C6</f>
        <v>59.999999999999993</v>
      </c>
    </row>
    <row r="13" spans="1:7" x14ac:dyDescent="0.25">
      <c r="A13" s="241">
        <v>1.4</v>
      </c>
      <c r="B13" s="223" t="s">
        <v>391</v>
      </c>
      <c r="C13" s="242" t="s">
        <v>153</v>
      </c>
      <c r="D13" s="38">
        <v>472</v>
      </c>
      <c r="E13" s="38">
        <f>1.5*C6</f>
        <v>6.7528500000000005</v>
      </c>
      <c r="F13" s="213">
        <f t="shared" si="0"/>
        <v>3187.3452000000002</v>
      </c>
      <c r="G13" s="213">
        <f>F13/C6</f>
        <v>708</v>
      </c>
    </row>
    <row r="14" spans="1:7" ht="30" x14ac:dyDescent="0.25">
      <c r="A14" s="241">
        <v>1.6</v>
      </c>
      <c r="B14" s="223" t="s">
        <v>392</v>
      </c>
      <c r="C14" s="242" t="s">
        <v>254</v>
      </c>
      <c r="D14" s="38">
        <v>70</v>
      </c>
      <c r="E14" s="38">
        <f>0.8*C6</f>
        <v>3.6015200000000003</v>
      </c>
      <c r="F14" s="213">
        <f t="shared" si="0"/>
        <v>252.10640000000001</v>
      </c>
      <c r="G14" s="213">
        <f>F14/C6</f>
        <v>56</v>
      </c>
    </row>
    <row r="15" spans="1:7" ht="27.75" customHeight="1" x14ac:dyDescent="0.25">
      <c r="A15" s="241">
        <v>1.7</v>
      </c>
      <c r="B15" s="223" t="s">
        <v>393</v>
      </c>
      <c r="C15" s="242" t="s">
        <v>153</v>
      </c>
      <c r="D15" s="38">
        <v>245</v>
      </c>
      <c r="E15" s="38">
        <f>1*C6</f>
        <v>4.5019</v>
      </c>
      <c r="F15" s="213">
        <f t="shared" si="0"/>
        <v>1102.9655</v>
      </c>
      <c r="G15" s="213">
        <f>F15/C6</f>
        <v>245</v>
      </c>
    </row>
    <row r="16" spans="1:7" ht="27.75" customHeight="1" x14ac:dyDescent="0.25">
      <c r="A16" s="241">
        <v>1.8</v>
      </c>
      <c r="B16" s="223" t="s">
        <v>394</v>
      </c>
      <c r="C16" s="242" t="s">
        <v>153</v>
      </c>
      <c r="D16" s="38">
        <v>300</v>
      </c>
      <c r="E16" s="38">
        <f>1*C6</f>
        <v>4.5019</v>
      </c>
      <c r="F16" s="213">
        <f t="shared" si="0"/>
        <v>1350.57</v>
      </c>
      <c r="G16" s="213">
        <f>F16/C6</f>
        <v>300</v>
      </c>
    </row>
    <row r="17" spans="1:7" ht="27.75" customHeight="1" x14ac:dyDescent="0.25">
      <c r="A17" s="241">
        <v>1.9</v>
      </c>
      <c r="B17" s="223" t="s">
        <v>395</v>
      </c>
      <c r="C17" s="242" t="s">
        <v>153</v>
      </c>
      <c r="D17" s="38">
        <v>1000</v>
      </c>
      <c r="E17" s="38">
        <f>1*C6</f>
        <v>4.5019</v>
      </c>
      <c r="F17" s="213">
        <f t="shared" si="0"/>
        <v>4501.8999999999996</v>
      </c>
      <c r="G17" s="213">
        <f>F17/C6</f>
        <v>999.99999999999989</v>
      </c>
    </row>
    <row r="18" spans="1:7" ht="27.75" customHeight="1" x14ac:dyDescent="0.25">
      <c r="A18" s="241" t="s">
        <v>396</v>
      </c>
      <c r="B18" s="223" t="s">
        <v>397</v>
      </c>
      <c r="C18" s="242" t="s">
        <v>153</v>
      </c>
      <c r="D18" s="38">
        <v>120</v>
      </c>
      <c r="E18" s="38">
        <f>1*C6</f>
        <v>4.5019</v>
      </c>
      <c r="F18" s="213">
        <f t="shared" si="0"/>
        <v>540.22799999999995</v>
      </c>
      <c r="G18" s="213">
        <f>F18/C6</f>
        <v>119.99999999999999</v>
      </c>
    </row>
    <row r="19" spans="1:7" ht="27.75" customHeight="1" x14ac:dyDescent="0.25">
      <c r="A19" s="241" t="s">
        <v>398</v>
      </c>
      <c r="B19" s="223" t="s">
        <v>399</v>
      </c>
      <c r="C19" s="242" t="s">
        <v>146</v>
      </c>
      <c r="D19" s="38">
        <v>50</v>
      </c>
      <c r="E19" s="38">
        <f>5*C6</f>
        <v>22.509499999999999</v>
      </c>
      <c r="F19" s="213">
        <f t="shared" si="0"/>
        <v>1125.4749999999999</v>
      </c>
      <c r="G19" s="213">
        <f>F19/C6</f>
        <v>249.99999999999997</v>
      </c>
    </row>
    <row r="20" spans="1:7" ht="27.75" customHeight="1" x14ac:dyDescent="0.25">
      <c r="A20" s="241" t="s">
        <v>400</v>
      </c>
      <c r="B20" s="223" t="s">
        <v>401</v>
      </c>
      <c r="C20" s="242" t="s">
        <v>146</v>
      </c>
      <c r="D20" s="38">
        <v>10</v>
      </c>
      <c r="E20" s="38">
        <f>5*C6</f>
        <v>22.509499999999999</v>
      </c>
      <c r="F20" s="213">
        <f t="shared" si="0"/>
        <v>225.095</v>
      </c>
      <c r="G20" s="213">
        <f>F20/C6</f>
        <v>50</v>
      </c>
    </row>
    <row r="21" spans="1:7" ht="27.75" customHeight="1" x14ac:dyDescent="0.25">
      <c r="A21" s="241" t="s">
        <v>402</v>
      </c>
      <c r="B21" s="223" t="s">
        <v>403</v>
      </c>
      <c r="C21" s="242" t="s">
        <v>254</v>
      </c>
      <c r="D21" s="38">
        <v>10</v>
      </c>
      <c r="E21" s="38">
        <f>5*C6</f>
        <v>22.509499999999999</v>
      </c>
      <c r="F21" s="213">
        <f t="shared" si="0"/>
        <v>225.095</v>
      </c>
      <c r="G21" s="213">
        <f>F21/C6</f>
        <v>50</v>
      </c>
    </row>
    <row r="22" spans="1:7" ht="27.75" customHeight="1" x14ac:dyDescent="0.25">
      <c r="A22" s="241" t="s">
        <v>404</v>
      </c>
      <c r="B22" s="223" t="s">
        <v>405</v>
      </c>
      <c r="C22" s="242" t="s">
        <v>254</v>
      </c>
      <c r="D22" s="38">
        <v>180</v>
      </c>
      <c r="E22" s="38">
        <f>0.2*C6</f>
        <v>0.90038000000000007</v>
      </c>
      <c r="F22" s="213">
        <f t="shared" si="0"/>
        <v>162.06840000000003</v>
      </c>
      <c r="G22" s="213">
        <f>F22/C6</f>
        <v>36.000000000000007</v>
      </c>
    </row>
    <row r="23" spans="1:7" ht="27.75" customHeight="1" x14ac:dyDescent="0.25">
      <c r="A23" s="241" t="s">
        <v>406</v>
      </c>
      <c r="B23" s="223" t="s">
        <v>407</v>
      </c>
      <c r="C23" s="242" t="s">
        <v>153</v>
      </c>
      <c r="D23" s="38">
        <v>100</v>
      </c>
      <c r="E23" s="38">
        <f>3*C6</f>
        <v>13.505700000000001</v>
      </c>
      <c r="F23" s="213">
        <f t="shared" si="0"/>
        <v>1350.5700000000002</v>
      </c>
      <c r="G23" s="213">
        <f>F23/C6</f>
        <v>300.00000000000006</v>
      </c>
    </row>
    <row r="24" spans="1:7" ht="27.75" customHeight="1" x14ac:dyDescent="0.25">
      <c r="A24" s="241" t="s">
        <v>408</v>
      </c>
      <c r="B24" s="223" t="s">
        <v>409</v>
      </c>
      <c r="C24" s="242" t="s">
        <v>153</v>
      </c>
      <c r="D24" s="38">
        <v>70</v>
      </c>
      <c r="E24" s="38">
        <f>1*C6</f>
        <v>4.5019</v>
      </c>
      <c r="F24" s="213">
        <f t="shared" si="0"/>
        <v>315.13299999999998</v>
      </c>
      <c r="G24" s="213">
        <f>F24/C6</f>
        <v>70</v>
      </c>
    </row>
    <row r="25" spans="1:7" ht="27.75" customHeight="1" x14ac:dyDescent="0.25">
      <c r="A25" s="241" t="s">
        <v>410</v>
      </c>
      <c r="B25" s="223" t="s">
        <v>411</v>
      </c>
      <c r="C25" s="242" t="s">
        <v>43</v>
      </c>
      <c r="D25" s="38">
        <v>2</v>
      </c>
      <c r="E25" s="38">
        <f>40*C6</f>
        <v>180.07599999999999</v>
      </c>
      <c r="F25" s="213">
        <f t="shared" si="0"/>
        <v>360.15199999999999</v>
      </c>
      <c r="G25" s="213">
        <f>F25/C6</f>
        <v>80</v>
      </c>
    </row>
    <row r="26" spans="1:7" ht="27.75" customHeight="1" x14ac:dyDescent="0.25">
      <c r="A26" s="241" t="s">
        <v>412</v>
      </c>
      <c r="B26" s="223" t="s">
        <v>413</v>
      </c>
      <c r="C26" s="242" t="s">
        <v>153</v>
      </c>
      <c r="D26" s="38">
        <v>10</v>
      </c>
      <c r="E26" s="38">
        <f>1.5*C6</f>
        <v>6.7528500000000005</v>
      </c>
      <c r="F26" s="213">
        <f t="shared" si="0"/>
        <v>67.528500000000008</v>
      </c>
      <c r="G26" s="213">
        <f>F26/C6</f>
        <v>15.000000000000002</v>
      </c>
    </row>
    <row r="27" spans="1:7" ht="27.75" customHeight="1" x14ac:dyDescent="0.25">
      <c r="A27" s="241" t="s">
        <v>414</v>
      </c>
      <c r="B27" s="223" t="s">
        <v>415</v>
      </c>
      <c r="C27" s="242" t="s">
        <v>147</v>
      </c>
      <c r="D27" s="38">
        <v>500</v>
      </c>
      <c r="E27" s="38">
        <f>0.2*C6</f>
        <v>0.90038000000000007</v>
      </c>
      <c r="F27" s="213">
        <f t="shared" si="0"/>
        <v>450.19000000000005</v>
      </c>
      <c r="G27" s="213">
        <f>F27/C6</f>
        <v>100.00000000000001</v>
      </c>
    </row>
    <row r="28" spans="1:7" ht="27.75" customHeight="1" x14ac:dyDescent="0.25">
      <c r="A28" s="241" t="s">
        <v>416</v>
      </c>
      <c r="B28" s="223" t="s">
        <v>417</v>
      </c>
      <c r="C28" s="242" t="s">
        <v>153</v>
      </c>
      <c r="D28" s="38">
        <v>300</v>
      </c>
      <c r="E28" s="38">
        <f>2*C6</f>
        <v>9.0038</v>
      </c>
      <c r="F28" s="213">
        <f t="shared" si="0"/>
        <v>2701.14</v>
      </c>
      <c r="G28" s="213">
        <f>F28/C6</f>
        <v>600</v>
      </c>
    </row>
    <row r="29" spans="1:7" x14ac:dyDescent="0.25">
      <c r="A29" s="82" t="s">
        <v>418</v>
      </c>
      <c r="B29" s="36"/>
      <c r="C29" s="242"/>
      <c r="D29" s="38"/>
      <c r="E29" s="38"/>
      <c r="F29" s="224">
        <f>SUM(F30:F36)</f>
        <v>131905.66999999998</v>
      </c>
      <c r="G29" s="224">
        <f>SUM(G30:G36)</f>
        <v>29300</v>
      </c>
    </row>
    <row r="30" spans="1:7" ht="30" x14ac:dyDescent="0.25">
      <c r="A30" s="241" t="s">
        <v>419</v>
      </c>
      <c r="B30" s="223" t="s">
        <v>420</v>
      </c>
      <c r="C30" s="242" t="s">
        <v>146</v>
      </c>
      <c r="D30" s="38">
        <v>10</v>
      </c>
      <c r="E30" s="38">
        <f>90*C6</f>
        <v>405.17099999999999</v>
      </c>
      <c r="F30" s="213">
        <f t="shared" ref="F30" si="1">D30*E30</f>
        <v>4051.71</v>
      </c>
      <c r="G30" s="213">
        <f>F30/C6</f>
        <v>900</v>
      </c>
    </row>
    <row r="31" spans="1:7" ht="45" x14ac:dyDescent="0.25">
      <c r="A31" s="241">
        <v>2.1</v>
      </c>
      <c r="B31" s="223" t="s">
        <v>421</v>
      </c>
      <c r="C31" s="242" t="s">
        <v>146</v>
      </c>
      <c r="D31" s="38">
        <v>10</v>
      </c>
      <c r="E31" s="38">
        <f>100*C6</f>
        <v>450.19</v>
      </c>
      <c r="F31" s="213">
        <f t="shared" ref="F31:F36" si="2">D31*E31</f>
        <v>4501.8999999999996</v>
      </c>
      <c r="G31" s="213">
        <f>F31/C6</f>
        <v>999.99999999999989</v>
      </c>
    </row>
    <row r="32" spans="1:7" ht="90.75" customHeight="1" x14ac:dyDescent="0.25">
      <c r="A32" s="241">
        <v>2.2000000000000002</v>
      </c>
      <c r="B32" s="223" t="s">
        <v>422</v>
      </c>
      <c r="C32" s="242" t="s">
        <v>153</v>
      </c>
      <c r="D32" s="38">
        <v>50</v>
      </c>
      <c r="E32" s="38">
        <f>12*C6</f>
        <v>54.022800000000004</v>
      </c>
      <c r="F32" s="213">
        <f t="shared" si="2"/>
        <v>2701.1400000000003</v>
      </c>
      <c r="G32" s="213">
        <f>F32/C6</f>
        <v>600.00000000000011</v>
      </c>
    </row>
    <row r="33" spans="1:7" x14ac:dyDescent="0.25">
      <c r="A33" s="241">
        <v>2.4</v>
      </c>
      <c r="B33" s="223" t="s">
        <v>30</v>
      </c>
      <c r="C33" s="242" t="s">
        <v>153</v>
      </c>
      <c r="D33" s="38">
        <v>30</v>
      </c>
      <c r="E33" s="38">
        <f>110*C6</f>
        <v>495.209</v>
      </c>
      <c r="F33" s="213">
        <f t="shared" si="2"/>
        <v>14856.27</v>
      </c>
      <c r="G33" s="213">
        <f>F33/C6</f>
        <v>3300</v>
      </c>
    </row>
    <row r="34" spans="1:7" ht="30" x14ac:dyDescent="0.25">
      <c r="A34" s="241">
        <v>2.5</v>
      </c>
      <c r="B34" s="223" t="s">
        <v>423</v>
      </c>
      <c r="C34" s="242" t="s">
        <v>370</v>
      </c>
      <c r="D34" s="38">
        <v>250</v>
      </c>
      <c r="E34" s="38">
        <f>50*C6</f>
        <v>225.095</v>
      </c>
      <c r="F34" s="213">
        <f t="shared" si="2"/>
        <v>56273.75</v>
      </c>
      <c r="G34" s="213">
        <f>F34/C6</f>
        <v>12500</v>
      </c>
    </row>
    <row r="35" spans="1:7" x14ac:dyDescent="0.25">
      <c r="A35" s="241">
        <v>2.6</v>
      </c>
      <c r="B35" s="223" t="s">
        <v>424</v>
      </c>
      <c r="C35" s="242" t="s">
        <v>153</v>
      </c>
      <c r="D35" s="38">
        <v>300</v>
      </c>
      <c r="E35" s="38">
        <f>20*C6</f>
        <v>90.037999999999997</v>
      </c>
      <c r="F35" s="213">
        <f t="shared" si="2"/>
        <v>27011.399999999998</v>
      </c>
      <c r="G35" s="213">
        <f>F35/C6</f>
        <v>5999.9999999999991</v>
      </c>
    </row>
    <row r="36" spans="1:7" x14ac:dyDescent="0.25">
      <c r="A36" s="241">
        <v>2.7</v>
      </c>
      <c r="B36" s="223" t="s">
        <v>425</v>
      </c>
      <c r="C36" s="242" t="s">
        <v>243</v>
      </c>
      <c r="D36" s="38">
        <v>5000</v>
      </c>
      <c r="E36" s="38">
        <f>1*C6</f>
        <v>4.5019</v>
      </c>
      <c r="F36" s="213">
        <f t="shared" si="2"/>
        <v>22509.5</v>
      </c>
      <c r="G36" s="213">
        <f>F36/C6</f>
        <v>5000</v>
      </c>
    </row>
    <row r="37" spans="1:7" x14ac:dyDescent="0.25">
      <c r="A37" s="82" t="s">
        <v>426</v>
      </c>
      <c r="B37" s="223"/>
      <c r="C37" s="242"/>
      <c r="D37" s="38"/>
      <c r="E37" s="38"/>
      <c r="F37" s="224">
        <f>SUM(F38:F54)</f>
        <v>59494.859450000004</v>
      </c>
      <c r="G37" s="224">
        <f>SUM(G38:G54)</f>
        <v>13215.5</v>
      </c>
    </row>
    <row r="38" spans="1:7" ht="30" x14ac:dyDescent="0.25">
      <c r="A38" s="241">
        <v>3.1</v>
      </c>
      <c r="B38" s="223" t="s">
        <v>427</v>
      </c>
      <c r="C38" s="242" t="s">
        <v>153</v>
      </c>
      <c r="D38" s="38">
        <v>472</v>
      </c>
      <c r="E38" s="38">
        <f>3*C6</f>
        <v>13.505700000000001</v>
      </c>
      <c r="F38" s="213">
        <f t="shared" ref="F38:F54" si="3">D38*E38</f>
        <v>6374.6904000000004</v>
      </c>
      <c r="G38" s="213">
        <f>F38/C6</f>
        <v>1416</v>
      </c>
    </row>
    <row r="39" spans="1:7" ht="45" x14ac:dyDescent="0.25">
      <c r="A39" s="241">
        <v>3.2</v>
      </c>
      <c r="B39" s="223" t="s">
        <v>428</v>
      </c>
      <c r="C39" s="242" t="s">
        <v>153</v>
      </c>
      <c r="D39" s="38">
        <v>472</v>
      </c>
      <c r="E39" s="38">
        <f>11*C6</f>
        <v>49.520899999999997</v>
      </c>
      <c r="F39" s="213">
        <f t="shared" si="3"/>
        <v>23373.864799999999</v>
      </c>
      <c r="G39" s="213">
        <f>F39/C6</f>
        <v>5192</v>
      </c>
    </row>
    <row r="40" spans="1:7" x14ac:dyDescent="0.25">
      <c r="A40" s="241" t="s">
        <v>429</v>
      </c>
      <c r="B40" s="223" t="s">
        <v>430</v>
      </c>
      <c r="C40" s="242" t="s">
        <v>153</v>
      </c>
      <c r="D40" s="38">
        <v>472</v>
      </c>
      <c r="E40" s="38">
        <f>0.25*C6</f>
        <v>1.125475</v>
      </c>
      <c r="F40" s="213">
        <f t="shared" si="3"/>
        <v>531.2242</v>
      </c>
      <c r="G40" s="213">
        <f>F40/C6</f>
        <v>118</v>
      </c>
    </row>
    <row r="41" spans="1:7" ht="30" x14ac:dyDescent="0.25">
      <c r="A41" s="241">
        <v>3.3</v>
      </c>
      <c r="B41" s="223" t="s">
        <v>431</v>
      </c>
      <c r="C41" s="242" t="s">
        <v>254</v>
      </c>
      <c r="D41" s="38">
        <v>85</v>
      </c>
      <c r="E41" s="38">
        <f>2*C6</f>
        <v>9.0038</v>
      </c>
      <c r="F41" s="213">
        <f t="shared" si="3"/>
        <v>765.32299999999998</v>
      </c>
      <c r="G41" s="213">
        <f>F41/C6</f>
        <v>170</v>
      </c>
    </row>
    <row r="42" spans="1:7" ht="30" x14ac:dyDescent="0.25">
      <c r="A42" s="241">
        <v>3.4</v>
      </c>
      <c r="B42" s="223" t="s">
        <v>432</v>
      </c>
      <c r="C42" s="242" t="s">
        <v>254</v>
      </c>
      <c r="D42" s="38">
        <v>85</v>
      </c>
      <c r="E42" s="38">
        <f>1*C6</f>
        <v>4.5019</v>
      </c>
      <c r="F42" s="213">
        <f t="shared" si="3"/>
        <v>382.66149999999999</v>
      </c>
      <c r="G42" s="213">
        <f>F42/C6</f>
        <v>85</v>
      </c>
    </row>
    <row r="43" spans="1:7" x14ac:dyDescent="0.25">
      <c r="A43" s="241">
        <v>3.5</v>
      </c>
      <c r="B43" s="223" t="s">
        <v>433</v>
      </c>
      <c r="C43" s="242" t="s">
        <v>254</v>
      </c>
      <c r="D43" s="38">
        <v>100</v>
      </c>
      <c r="E43" s="38">
        <f>6.5*C6</f>
        <v>29.262350000000001</v>
      </c>
      <c r="F43" s="213">
        <f t="shared" si="3"/>
        <v>2926.2350000000001</v>
      </c>
      <c r="G43" s="213">
        <f>F43/C6</f>
        <v>650</v>
      </c>
    </row>
    <row r="44" spans="1:7" x14ac:dyDescent="0.25">
      <c r="A44" s="241">
        <v>3.6</v>
      </c>
      <c r="B44" s="223" t="s">
        <v>434</v>
      </c>
      <c r="C44" s="242" t="s">
        <v>254</v>
      </c>
      <c r="D44" s="38">
        <v>88</v>
      </c>
      <c r="E44" s="38">
        <f>6.5*C6</f>
        <v>29.262350000000001</v>
      </c>
      <c r="F44" s="213">
        <f t="shared" si="3"/>
        <v>2575.0868</v>
      </c>
      <c r="G44" s="213">
        <f>F44/C6</f>
        <v>572</v>
      </c>
    </row>
    <row r="45" spans="1:7" x14ac:dyDescent="0.25">
      <c r="A45" s="241">
        <v>3.7</v>
      </c>
      <c r="B45" s="223" t="s">
        <v>435</v>
      </c>
      <c r="C45" s="242" t="s">
        <v>153</v>
      </c>
      <c r="D45" s="38">
        <v>310</v>
      </c>
      <c r="E45" s="38">
        <f>5*C6</f>
        <v>22.509499999999999</v>
      </c>
      <c r="F45" s="213">
        <f t="shared" si="3"/>
        <v>6977.9449999999997</v>
      </c>
      <c r="G45" s="213">
        <f>F45/C6</f>
        <v>1550</v>
      </c>
    </row>
    <row r="46" spans="1:7" x14ac:dyDescent="0.25">
      <c r="A46" s="241">
        <v>3.8</v>
      </c>
      <c r="B46" s="223" t="s">
        <v>436</v>
      </c>
      <c r="C46" s="242" t="s">
        <v>153</v>
      </c>
      <c r="D46" s="38">
        <v>310</v>
      </c>
      <c r="E46" s="38">
        <f>0.25*C6</f>
        <v>1.125475</v>
      </c>
      <c r="F46" s="213">
        <f t="shared" si="3"/>
        <v>348.89724999999999</v>
      </c>
      <c r="G46" s="213">
        <f>F46/C6</f>
        <v>77.5</v>
      </c>
    </row>
    <row r="47" spans="1:7" x14ac:dyDescent="0.25">
      <c r="A47" s="241">
        <v>3.9</v>
      </c>
      <c r="B47" s="223" t="s">
        <v>437</v>
      </c>
      <c r="C47" s="242" t="s">
        <v>153</v>
      </c>
      <c r="D47" s="381">
        <v>310</v>
      </c>
      <c r="E47" s="381">
        <f>0.25*C6</f>
        <v>1.125475</v>
      </c>
      <c r="F47" s="501">
        <f t="shared" si="3"/>
        <v>348.89724999999999</v>
      </c>
      <c r="G47" s="213">
        <f>F47/C6</f>
        <v>77.5</v>
      </c>
    </row>
    <row r="48" spans="1:7" x14ac:dyDescent="0.25">
      <c r="A48" s="241" t="s">
        <v>291</v>
      </c>
      <c r="B48" s="223" t="s">
        <v>438</v>
      </c>
      <c r="C48" s="242" t="s">
        <v>43</v>
      </c>
      <c r="D48" s="38">
        <v>1</v>
      </c>
      <c r="E48" s="38">
        <f>150*C6</f>
        <v>675.28499999999997</v>
      </c>
      <c r="F48" s="213">
        <f t="shared" si="3"/>
        <v>675.28499999999997</v>
      </c>
      <c r="G48" s="213">
        <f>F48/C6</f>
        <v>150</v>
      </c>
    </row>
    <row r="49" spans="1:7" x14ac:dyDescent="0.25">
      <c r="A49" s="241" t="s">
        <v>293</v>
      </c>
      <c r="B49" s="223" t="s">
        <v>439</v>
      </c>
      <c r="C49" s="242" t="s">
        <v>43</v>
      </c>
      <c r="D49" s="38">
        <v>1</v>
      </c>
      <c r="E49" s="38">
        <f>50*C6</f>
        <v>225.095</v>
      </c>
      <c r="F49" s="213">
        <f t="shared" si="3"/>
        <v>225.095</v>
      </c>
      <c r="G49" s="213">
        <f>F49/C6</f>
        <v>50</v>
      </c>
    </row>
    <row r="50" spans="1:7" x14ac:dyDescent="0.25">
      <c r="A50" s="241" t="s">
        <v>295</v>
      </c>
      <c r="B50" s="223" t="s">
        <v>440</v>
      </c>
      <c r="C50" s="242" t="s">
        <v>43</v>
      </c>
      <c r="D50" s="38">
        <v>8</v>
      </c>
      <c r="E50" s="38">
        <f>80*C6</f>
        <v>360.15199999999999</v>
      </c>
      <c r="F50" s="213">
        <f t="shared" si="3"/>
        <v>2881.2159999999999</v>
      </c>
      <c r="G50" s="213">
        <f>F50/C6</f>
        <v>640</v>
      </c>
    </row>
    <row r="51" spans="1:7" x14ac:dyDescent="0.25">
      <c r="A51" s="241" t="s">
        <v>297</v>
      </c>
      <c r="B51" s="223" t="s">
        <v>441</v>
      </c>
      <c r="C51" s="242" t="s">
        <v>153</v>
      </c>
      <c r="D51" s="38">
        <v>310</v>
      </c>
      <c r="E51" s="38">
        <f>5*C6</f>
        <v>22.509499999999999</v>
      </c>
      <c r="F51" s="213">
        <f t="shared" si="3"/>
        <v>6977.9449999999997</v>
      </c>
      <c r="G51" s="213">
        <f>F51/C6</f>
        <v>1550</v>
      </c>
    </row>
    <row r="52" spans="1:7" x14ac:dyDescent="0.25">
      <c r="A52" s="241" t="s">
        <v>442</v>
      </c>
      <c r="B52" s="223" t="s">
        <v>443</v>
      </c>
      <c r="C52" s="242" t="s">
        <v>153</v>
      </c>
      <c r="D52" s="38">
        <v>310</v>
      </c>
      <c r="E52" s="38">
        <f>0.25*C6</f>
        <v>1.125475</v>
      </c>
      <c r="F52" s="213">
        <f t="shared" si="3"/>
        <v>348.89724999999999</v>
      </c>
      <c r="G52" s="213">
        <f>F52/C6</f>
        <v>77.5</v>
      </c>
    </row>
    <row r="53" spans="1:7" x14ac:dyDescent="0.25">
      <c r="A53" s="241" t="s">
        <v>444</v>
      </c>
      <c r="B53" s="223" t="s">
        <v>445</v>
      </c>
      <c r="C53" s="242" t="s">
        <v>43</v>
      </c>
      <c r="D53" s="38">
        <v>1</v>
      </c>
      <c r="E53" s="38">
        <f>300*C6</f>
        <v>1350.57</v>
      </c>
      <c r="F53" s="213">
        <f t="shared" si="3"/>
        <v>1350.57</v>
      </c>
      <c r="G53" s="213">
        <f>F53/C6</f>
        <v>300</v>
      </c>
    </row>
    <row r="54" spans="1:7" x14ac:dyDescent="0.25">
      <c r="A54" s="241" t="s">
        <v>446</v>
      </c>
      <c r="B54" s="223" t="s">
        <v>447</v>
      </c>
      <c r="C54" s="242" t="s">
        <v>153</v>
      </c>
      <c r="D54" s="38">
        <v>120</v>
      </c>
      <c r="E54" s="38">
        <f>4.5*C6</f>
        <v>20.25855</v>
      </c>
      <c r="F54" s="213">
        <f t="shared" si="3"/>
        <v>2431.0259999999998</v>
      </c>
      <c r="G54" s="213">
        <f>F54/C6</f>
        <v>540</v>
      </c>
    </row>
    <row r="55" spans="1:7" x14ac:dyDescent="0.25">
      <c r="A55" s="82" t="s">
        <v>448</v>
      </c>
      <c r="B55" s="223"/>
      <c r="C55" s="242"/>
      <c r="D55" s="38"/>
      <c r="E55" s="38"/>
      <c r="F55" s="224">
        <f>SUM(F56:F68)</f>
        <v>114366.26760000001</v>
      </c>
      <c r="G55" s="224">
        <f>SUM(G56:G68)</f>
        <v>25404</v>
      </c>
    </row>
    <row r="56" spans="1:7" ht="30" x14ac:dyDescent="0.25">
      <c r="A56" s="241" t="s">
        <v>300</v>
      </c>
      <c r="B56" s="223" t="s">
        <v>449</v>
      </c>
      <c r="C56" s="242" t="s">
        <v>153</v>
      </c>
      <c r="D56" s="38">
        <v>121</v>
      </c>
      <c r="E56" s="38">
        <f>80*C6</f>
        <v>360.15199999999999</v>
      </c>
      <c r="F56" s="213">
        <f t="shared" ref="F56:F68" si="4">D56*E56</f>
        <v>43578.392</v>
      </c>
      <c r="G56" s="213">
        <f>F56/C6</f>
        <v>9680</v>
      </c>
    </row>
    <row r="57" spans="1:7" ht="30" x14ac:dyDescent="0.25">
      <c r="A57" s="241">
        <v>4.2</v>
      </c>
      <c r="B57" s="223" t="s">
        <v>450</v>
      </c>
      <c r="C57" s="242" t="s">
        <v>153</v>
      </c>
      <c r="D57" s="38">
        <v>32</v>
      </c>
      <c r="E57" s="38">
        <f>90*C6</f>
        <v>405.17099999999999</v>
      </c>
      <c r="F57" s="213">
        <f t="shared" si="4"/>
        <v>12965.472</v>
      </c>
      <c r="G57" s="213">
        <f>F57/C6</f>
        <v>2880</v>
      </c>
    </row>
    <row r="58" spans="1:7" x14ac:dyDescent="0.25">
      <c r="A58" s="241">
        <v>4.3</v>
      </c>
      <c r="B58" s="223" t="s">
        <v>451</v>
      </c>
      <c r="C58" s="242" t="s">
        <v>153</v>
      </c>
      <c r="D58" s="38">
        <v>64</v>
      </c>
      <c r="E58" s="38">
        <f>80*C6</f>
        <v>360.15199999999999</v>
      </c>
      <c r="F58" s="213">
        <f t="shared" si="4"/>
        <v>23049.727999999999</v>
      </c>
      <c r="G58" s="213">
        <f>F58/C6</f>
        <v>5120</v>
      </c>
    </row>
    <row r="59" spans="1:7" ht="30" x14ac:dyDescent="0.25">
      <c r="A59" s="241">
        <v>4.4000000000000004</v>
      </c>
      <c r="B59" s="223" t="s">
        <v>452</v>
      </c>
      <c r="C59" s="242" t="s">
        <v>153</v>
      </c>
      <c r="D59" s="38">
        <v>10</v>
      </c>
      <c r="E59" s="38">
        <f>105*C6</f>
        <v>472.6995</v>
      </c>
      <c r="F59" s="213">
        <f t="shared" si="4"/>
        <v>4726.9949999999999</v>
      </c>
      <c r="G59" s="213">
        <f>F59/C6</f>
        <v>1050</v>
      </c>
    </row>
    <row r="60" spans="1:7" ht="30" x14ac:dyDescent="0.25">
      <c r="A60" s="241" t="s">
        <v>309</v>
      </c>
      <c r="B60" s="223" t="s">
        <v>453</v>
      </c>
      <c r="C60" s="242" t="s">
        <v>370</v>
      </c>
      <c r="D60" s="38">
        <v>100</v>
      </c>
      <c r="E60" s="38">
        <f>5*C6</f>
        <v>22.509499999999999</v>
      </c>
      <c r="F60" s="213">
        <f t="shared" si="4"/>
        <v>2250.9499999999998</v>
      </c>
      <c r="G60" s="213">
        <f>F60/C6</f>
        <v>499.99999999999994</v>
      </c>
    </row>
    <row r="61" spans="1:7" x14ac:dyDescent="0.25">
      <c r="A61" s="241" t="s">
        <v>311</v>
      </c>
      <c r="B61" s="223" t="s">
        <v>454</v>
      </c>
      <c r="C61" s="242" t="s">
        <v>370</v>
      </c>
      <c r="D61" s="38">
        <v>115</v>
      </c>
      <c r="E61" s="38">
        <f>4*C6</f>
        <v>18.0076</v>
      </c>
      <c r="F61" s="213">
        <f t="shared" si="4"/>
        <v>2070.8739999999998</v>
      </c>
      <c r="G61" s="213">
        <f>F61/C6</f>
        <v>459.99999999999994</v>
      </c>
    </row>
    <row r="62" spans="1:7" ht="60" x14ac:dyDescent="0.25">
      <c r="A62" s="241" t="s">
        <v>313</v>
      </c>
      <c r="B62" s="223" t="s">
        <v>455</v>
      </c>
      <c r="C62" s="242" t="s">
        <v>370</v>
      </c>
      <c r="D62" s="38">
        <v>50</v>
      </c>
      <c r="E62" s="38">
        <f>25*C6</f>
        <v>112.5475</v>
      </c>
      <c r="F62" s="213">
        <f t="shared" si="4"/>
        <v>5627.375</v>
      </c>
      <c r="G62" s="213">
        <f>F62/C6</f>
        <v>1250</v>
      </c>
    </row>
    <row r="63" spans="1:7" ht="30" x14ac:dyDescent="0.25">
      <c r="A63" s="241" t="s">
        <v>315</v>
      </c>
      <c r="B63" s="223" t="s">
        <v>456</v>
      </c>
      <c r="C63" s="242" t="s">
        <v>147</v>
      </c>
      <c r="D63" s="38">
        <v>800</v>
      </c>
      <c r="E63" s="38">
        <f>4*C6</f>
        <v>18.0076</v>
      </c>
      <c r="F63" s="213">
        <f t="shared" si="4"/>
        <v>14406.08</v>
      </c>
      <c r="G63" s="213">
        <f>F63/C6</f>
        <v>3200</v>
      </c>
    </row>
    <row r="64" spans="1:7" x14ac:dyDescent="0.25">
      <c r="A64" s="241" t="s">
        <v>317</v>
      </c>
      <c r="B64" s="223" t="s">
        <v>457</v>
      </c>
      <c r="C64" s="242" t="s">
        <v>153</v>
      </c>
      <c r="D64" s="38">
        <v>5.0999999999999996</v>
      </c>
      <c r="E64" s="38">
        <f>80*C6</f>
        <v>360.15199999999999</v>
      </c>
      <c r="F64" s="213">
        <f t="shared" si="4"/>
        <v>1836.7751999999998</v>
      </c>
      <c r="G64" s="213">
        <f>F64/C6</f>
        <v>407.99999999999994</v>
      </c>
    </row>
    <row r="65" spans="1:7" x14ac:dyDescent="0.25">
      <c r="A65" s="241" t="s">
        <v>318</v>
      </c>
      <c r="B65" s="223" t="s">
        <v>458</v>
      </c>
      <c r="C65" s="242" t="s">
        <v>153</v>
      </c>
      <c r="D65" s="38">
        <v>1.8</v>
      </c>
      <c r="E65" s="38">
        <f>150*C6</f>
        <v>675.28499999999997</v>
      </c>
      <c r="F65" s="213">
        <f t="shared" si="4"/>
        <v>1215.5129999999999</v>
      </c>
      <c r="G65" s="213">
        <f>F65/C6</f>
        <v>270</v>
      </c>
    </row>
    <row r="66" spans="1:7" x14ac:dyDescent="0.25">
      <c r="A66" s="241" t="s">
        <v>459</v>
      </c>
      <c r="B66" s="223" t="s">
        <v>460</v>
      </c>
      <c r="C66" s="242" t="s">
        <v>153</v>
      </c>
      <c r="D66" s="38">
        <v>1.9</v>
      </c>
      <c r="E66" s="38">
        <f>100*C6</f>
        <v>450.19</v>
      </c>
      <c r="F66" s="213">
        <f t="shared" si="4"/>
        <v>855.36099999999999</v>
      </c>
      <c r="G66" s="213">
        <f>F66/C6</f>
        <v>190</v>
      </c>
    </row>
    <row r="67" spans="1:7" x14ac:dyDescent="0.25">
      <c r="A67" s="241" t="s">
        <v>461</v>
      </c>
      <c r="B67" s="223" t="s">
        <v>462</v>
      </c>
      <c r="C67" s="242" t="s">
        <v>153</v>
      </c>
      <c r="D67" s="38">
        <v>1.8</v>
      </c>
      <c r="E67" s="38">
        <f>100*C6</f>
        <v>450.19</v>
      </c>
      <c r="F67" s="213">
        <f t="shared" si="4"/>
        <v>810.34199999999998</v>
      </c>
      <c r="G67" s="213">
        <f>F67/C6</f>
        <v>180</v>
      </c>
    </row>
    <row r="68" spans="1:7" x14ac:dyDescent="0.25">
      <c r="A68" s="241" t="s">
        <v>463</v>
      </c>
      <c r="B68" s="223" t="s">
        <v>464</v>
      </c>
      <c r="C68" s="242" t="s">
        <v>153</v>
      </c>
      <c r="D68" s="38">
        <v>3.6</v>
      </c>
      <c r="E68" s="38">
        <f>60*C6</f>
        <v>270.11399999999998</v>
      </c>
      <c r="F68" s="213">
        <f t="shared" si="4"/>
        <v>972.41039999999998</v>
      </c>
      <c r="G68" s="213">
        <f>F68/C6</f>
        <v>216</v>
      </c>
    </row>
    <row r="69" spans="1:7" x14ac:dyDescent="0.25">
      <c r="A69" s="244"/>
      <c r="B69" s="81"/>
      <c r="C69" s="242"/>
      <c r="D69" s="38"/>
      <c r="E69" s="38"/>
      <c r="F69" s="213"/>
      <c r="G69" s="213"/>
    </row>
    <row r="70" spans="1:7" x14ac:dyDescent="0.25">
      <c r="A70" s="82" t="s">
        <v>465</v>
      </c>
      <c r="B70" s="223"/>
      <c r="C70" s="242"/>
      <c r="D70" s="38"/>
      <c r="E70" s="38"/>
      <c r="F70" s="224">
        <f>SUM(F71:F92)</f>
        <v>99845.389149999988</v>
      </c>
      <c r="G70" s="224">
        <f>SUM(G71:G92)</f>
        <v>22178.5</v>
      </c>
    </row>
    <row r="71" spans="1:7" ht="45" x14ac:dyDescent="0.25">
      <c r="A71" s="241">
        <v>5.0999999999999996</v>
      </c>
      <c r="B71" s="223" t="s">
        <v>466</v>
      </c>
      <c r="C71" s="242" t="s">
        <v>153</v>
      </c>
      <c r="D71" s="38">
        <v>364</v>
      </c>
      <c r="E71" s="38">
        <f>6*C6</f>
        <v>27.011400000000002</v>
      </c>
      <c r="F71" s="213">
        <f t="shared" ref="F71:F92" si="5">D71*E71</f>
        <v>9832.1496000000006</v>
      </c>
      <c r="G71" s="213">
        <f>F71/C6</f>
        <v>2184</v>
      </c>
    </row>
    <row r="72" spans="1:7" ht="45" x14ac:dyDescent="0.25">
      <c r="A72" s="241">
        <v>5.2</v>
      </c>
      <c r="B72" s="223" t="s">
        <v>467</v>
      </c>
      <c r="C72" s="242" t="s">
        <v>153</v>
      </c>
      <c r="D72" s="38">
        <v>83</v>
      </c>
      <c r="E72" s="38">
        <f>10*C6</f>
        <v>45.018999999999998</v>
      </c>
      <c r="F72" s="213">
        <f t="shared" si="5"/>
        <v>3736.5769999999998</v>
      </c>
      <c r="G72" s="213">
        <f>F72/C6</f>
        <v>830</v>
      </c>
    </row>
    <row r="73" spans="1:7" ht="45" x14ac:dyDescent="0.25">
      <c r="A73" s="241">
        <v>5.3</v>
      </c>
      <c r="B73" s="223" t="s">
        <v>468</v>
      </c>
      <c r="C73" s="242" t="s">
        <v>153</v>
      </c>
      <c r="D73" s="38">
        <v>220</v>
      </c>
      <c r="E73" s="38">
        <f>9*C6</f>
        <v>40.517099999999999</v>
      </c>
      <c r="F73" s="213">
        <f t="shared" si="5"/>
        <v>8913.7620000000006</v>
      </c>
      <c r="G73" s="213">
        <f>F73/C6</f>
        <v>1980.0000000000002</v>
      </c>
    </row>
    <row r="74" spans="1:7" ht="30" x14ac:dyDescent="0.25">
      <c r="A74" s="241">
        <v>5.4</v>
      </c>
      <c r="B74" s="223" t="s">
        <v>469</v>
      </c>
      <c r="C74" s="242" t="s">
        <v>153</v>
      </c>
      <c r="D74" s="38">
        <v>413</v>
      </c>
      <c r="E74" s="38">
        <f>3*C6</f>
        <v>13.505700000000001</v>
      </c>
      <c r="F74" s="213">
        <f t="shared" si="5"/>
        <v>5577.8541000000005</v>
      </c>
      <c r="G74" s="213">
        <f>F74/C6</f>
        <v>1239</v>
      </c>
    </row>
    <row r="75" spans="1:7" x14ac:dyDescent="0.25">
      <c r="A75" s="241">
        <v>5.5</v>
      </c>
      <c r="B75" s="223" t="s">
        <v>470</v>
      </c>
      <c r="C75" s="242" t="s">
        <v>153</v>
      </c>
      <c r="D75" s="38">
        <v>413</v>
      </c>
      <c r="E75" s="38">
        <f>2.5*C6</f>
        <v>11.25475</v>
      </c>
      <c r="F75" s="213">
        <f t="shared" si="5"/>
        <v>4648.2117499999995</v>
      </c>
      <c r="G75" s="213">
        <f>F75/C6</f>
        <v>1032.4999999999998</v>
      </c>
    </row>
    <row r="76" spans="1:7" ht="30" x14ac:dyDescent="0.25">
      <c r="A76" s="241">
        <v>5.6</v>
      </c>
      <c r="B76" s="223" t="s">
        <v>471</v>
      </c>
      <c r="C76" s="242" t="s">
        <v>153</v>
      </c>
      <c r="D76" s="38">
        <v>500</v>
      </c>
      <c r="E76" s="38">
        <f>9*C6</f>
        <v>40.517099999999999</v>
      </c>
      <c r="F76" s="213">
        <f t="shared" si="5"/>
        <v>20258.55</v>
      </c>
      <c r="G76" s="213">
        <f>F76/C6</f>
        <v>4500</v>
      </c>
    </row>
    <row r="77" spans="1:7" ht="30" x14ac:dyDescent="0.25">
      <c r="A77" s="241">
        <v>5.7</v>
      </c>
      <c r="B77" s="223" t="s">
        <v>472</v>
      </c>
      <c r="C77" s="242" t="s">
        <v>153</v>
      </c>
      <c r="D77" s="38">
        <v>300</v>
      </c>
      <c r="E77" s="38">
        <f>5*C6</f>
        <v>22.509499999999999</v>
      </c>
      <c r="F77" s="213">
        <f t="shared" si="5"/>
        <v>6752.8499999999995</v>
      </c>
      <c r="G77" s="213">
        <f>F77/C6</f>
        <v>1499.9999999999998</v>
      </c>
    </row>
    <row r="78" spans="1:7" ht="30" x14ac:dyDescent="0.25">
      <c r="A78" s="241">
        <v>5.8</v>
      </c>
      <c r="B78" s="223" t="s">
        <v>473</v>
      </c>
      <c r="C78" s="242" t="s">
        <v>153</v>
      </c>
      <c r="D78" s="38">
        <v>300</v>
      </c>
      <c r="E78" s="38">
        <f>0.25*C6</f>
        <v>1.125475</v>
      </c>
      <c r="F78" s="213">
        <f t="shared" si="5"/>
        <v>337.64249999999998</v>
      </c>
      <c r="G78" s="213">
        <f>F78/C6</f>
        <v>75</v>
      </c>
    </row>
    <row r="79" spans="1:7" ht="45" x14ac:dyDescent="0.25">
      <c r="A79" s="241" t="s">
        <v>337</v>
      </c>
      <c r="B79" s="223" t="s">
        <v>474</v>
      </c>
      <c r="C79" s="242" t="s">
        <v>153</v>
      </c>
      <c r="D79" s="38">
        <v>300</v>
      </c>
      <c r="E79" s="38">
        <f>5*C6</f>
        <v>22.509499999999999</v>
      </c>
      <c r="F79" s="213">
        <f t="shared" si="5"/>
        <v>6752.8499999999995</v>
      </c>
      <c r="G79" s="213">
        <f>F79/C6</f>
        <v>1499.9999999999998</v>
      </c>
    </row>
    <row r="80" spans="1:7" x14ac:dyDescent="0.25">
      <c r="A80" s="241" t="s">
        <v>339</v>
      </c>
      <c r="B80" s="223" t="s">
        <v>475</v>
      </c>
      <c r="C80" s="242" t="s">
        <v>153</v>
      </c>
      <c r="D80" s="38">
        <v>300</v>
      </c>
      <c r="E80" s="38">
        <f>6*C6</f>
        <v>27.011400000000002</v>
      </c>
      <c r="F80" s="213">
        <f t="shared" si="5"/>
        <v>8103.420000000001</v>
      </c>
      <c r="G80" s="213">
        <f>F80/C6</f>
        <v>1800.0000000000002</v>
      </c>
    </row>
    <row r="81" spans="1:7" x14ac:dyDescent="0.25">
      <c r="A81" s="241">
        <v>5.1100000000000003</v>
      </c>
      <c r="B81" s="223" t="s">
        <v>476</v>
      </c>
      <c r="C81" s="242" t="s">
        <v>153</v>
      </c>
      <c r="D81" s="38">
        <v>300</v>
      </c>
      <c r="E81" s="38">
        <f>0.25*C6</f>
        <v>1.125475</v>
      </c>
      <c r="F81" s="213">
        <f t="shared" si="5"/>
        <v>337.64249999999998</v>
      </c>
      <c r="G81" s="213">
        <f>F81/C6</f>
        <v>75</v>
      </c>
    </row>
    <row r="82" spans="1:7" x14ac:dyDescent="0.25">
      <c r="A82" s="241">
        <v>5.14</v>
      </c>
      <c r="B82" s="223" t="s">
        <v>477</v>
      </c>
      <c r="C82" s="242" t="s">
        <v>153</v>
      </c>
      <c r="D82" s="38">
        <v>600</v>
      </c>
      <c r="E82" s="38">
        <f>5*C6</f>
        <v>22.509499999999999</v>
      </c>
      <c r="F82" s="213">
        <f t="shared" si="5"/>
        <v>13505.699999999999</v>
      </c>
      <c r="G82" s="213">
        <f>F82/C6</f>
        <v>2999.9999999999995</v>
      </c>
    </row>
    <row r="83" spans="1:7" x14ac:dyDescent="0.25">
      <c r="A83" s="241">
        <v>5.15</v>
      </c>
      <c r="B83" s="223" t="s">
        <v>478</v>
      </c>
      <c r="C83" s="242" t="s">
        <v>153</v>
      </c>
      <c r="D83" s="38">
        <v>33</v>
      </c>
      <c r="E83" s="38">
        <f>6*C6</f>
        <v>27.011400000000002</v>
      </c>
      <c r="F83" s="213">
        <f t="shared" si="5"/>
        <v>891.37620000000004</v>
      </c>
      <c r="G83" s="213">
        <f>F83/C6</f>
        <v>198</v>
      </c>
    </row>
    <row r="84" spans="1:7" x14ac:dyDescent="0.25">
      <c r="A84" s="241">
        <v>5.16</v>
      </c>
      <c r="B84" s="223" t="s">
        <v>479</v>
      </c>
      <c r="C84" s="242" t="s">
        <v>153</v>
      </c>
      <c r="D84" s="38">
        <v>30</v>
      </c>
      <c r="E84" s="38">
        <f>10*C6</f>
        <v>45.018999999999998</v>
      </c>
      <c r="F84" s="213">
        <f t="shared" si="5"/>
        <v>1350.57</v>
      </c>
      <c r="G84" s="213">
        <f>F84/C6</f>
        <v>300</v>
      </c>
    </row>
    <row r="85" spans="1:7" x14ac:dyDescent="0.25">
      <c r="A85" s="241">
        <v>5.17</v>
      </c>
      <c r="B85" s="223" t="s">
        <v>436</v>
      </c>
      <c r="C85" s="242" t="s">
        <v>153</v>
      </c>
      <c r="D85" s="38">
        <v>30</v>
      </c>
      <c r="E85" s="38">
        <f>0.25*C6</f>
        <v>1.125475</v>
      </c>
      <c r="F85" s="213">
        <f t="shared" si="5"/>
        <v>33.764249999999997</v>
      </c>
      <c r="G85" s="213">
        <f>F85/C6</f>
        <v>7.4999999999999991</v>
      </c>
    </row>
    <row r="86" spans="1:7" x14ac:dyDescent="0.25">
      <c r="A86" s="241">
        <v>5.18</v>
      </c>
      <c r="B86" s="223" t="s">
        <v>437</v>
      </c>
      <c r="C86" s="242" t="s">
        <v>153</v>
      </c>
      <c r="D86" s="38">
        <v>30</v>
      </c>
      <c r="E86" s="38">
        <f>0.25*C6</f>
        <v>1.125475</v>
      </c>
      <c r="F86" s="213">
        <f t="shared" si="5"/>
        <v>33.764249999999997</v>
      </c>
      <c r="G86" s="213">
        <f>F86/C6</f>
        <v>7.4999999999999991</v>
      </c>
    </row>
    <row r="87" spans="1:7" x14ac:dyDescent="0.25">
      <c r="A87" s="241">
        <v>5.19</v>
      </c>
      <c r="B87" s="223" t="s">
        <v>480</v>
      </c>
      <c r="C87" s="242" t="s">
        <v>153</v>
      </c>
      <c r="D87" s="38">
        <v>60</v>
      </c>
      <c r="E87" s="38">
        <f>4*C6</f>
        <v>18.0076</v>
      </c>
      <c r="F87" s="213">
        <f t="shared" si="5"/>
        <v>1080.4559999999999</v>
      </c>
      <c r="G87" s="213">
        <f>F87/C6</f>
        <v>239.99999999999997</v>
      </c>
    </row>
    <row r="88" spans="1:7" x14ac:dyDescent="0.25">
      <c r="A88" s="241">
        <v>5.2</v>
      </c>
      <c r="B88" s="223" t="s">
        <v>481</v>
      </c>
      <c r="C88" s="242" t="s">
        <v>153</v>
      </c>
      <c r="D88" s="38">
        <v>30</v>
      </c>
      <c r="E88" s="38">
        <f>4.8*C6</f>
        <v>21.609120000000001</v>
      </c>
      <c r="F88" s="213">
        <f t="shared" si="5"/>
        <v>648.27359999999999</v>
      </c>
      <c r="G88" s="213">
        <f>F88/C6</f>
        <v>144</v>
      </c>
    </row>
    <row r="89" spans="1:7" x14ac:dyDescent="0.25">
      <c r="A89" s="241">
        <v>5.21</v>
      </c>
      <c r="B89" s="223" t="s">
        <v>482</v>
      </c>
      <c r="C89" s="242" t="s">
        <v>146</v>
      </c>
      <c r="D89" s="38">
        <v>6</v>
      </c>
      <c r="E89" s="38">
        <f>12*C6</f>
        <v>54.022800000000004</v>
      </c>
      <c r="F89" s="213">
        <f t="shared" si="5"/>
        <v>324.13679999999999</v>
      </c>
      <c r="G89" s="213">
        <f>F89/C6</f>
        <v>72</v>
      </c>
    </row>
    <row r="90" spans="1:7" x14ac:dyDescent="0.25">
      <c r="A90" s="241">
        <v>5.22</v>
      </c>
      <c r="B90" s="223" t="s">
        <v>483</v>
      </c>
      <c r="C90" s="242" t="s">
        <v>153</v>
      </c>
      <c r="D90" s="38">
        <v>60</v>
      </c>
      <c r="E90" s="38">
        <f>7*C6</f>
        <v>31.513300000000001</v>
      </c>
      <c r="F90" s="213">
        <f t="shared" si="5"/>
        <v>1890.798</v>
      </c>
      <c r="G90" s="213">
        <f>F90/C6</f>
        <v>420</v>
      </c>
    </row>
    <row r="91" spans="1:7" x14ac:dyDescent="0.25">
      <c r="A91" s="241">
        <v>5.23</v>
      </c>
      <c r="B91" s="223" t="s">
        <v>484</v>
      </c>
      <c r="C91" s="242" t="s">
        <v>153</v>
      </c>
      <c r="D91" s="38">
        <v>50</v>
      </c>
      <c r="E91" s="38">
        <f>15*C6</f>
        <v>67.528499999999994</v>
      </c>
      <c r="F91" s="213">
        <f t="shared" si="5"/>
        <v>3376.4249999999997</v>
      </c>
      <c r="G91" s="213">
        <f>F91/C6</f>
        <v>749.99999999999989</v>
      </c>
    </row>
    <row r="92" spans="1:7" x14ac:dyDescent="0.25">
      <c r="A92" s="241">
        <v>5.24</v>
      </c>
      <c r="B92" s="223" t="s">
        <v>485</v>
      </c>
      <c r="C92" s="242" t="s">
        <v>153</v>
      </c>
      <c r="D92" s="38">
        <v>108</v>
      </c>
      <c r="E92" s="38">
        <f>3*C6</f>
        <v>13.505700000000001</v>
      </c>
      <c r="F92" s="213">
        <f t="shared" si="5"/>
        <v>1458.6156000000001</v>
      </c>
      <c r="G92" s="213">
        <f>F92/C6</f>
        <v>324</v>
      </c>
    </row>
    <row r="93" spans="1:7" x14ac:dyDescent="0.25">
      <c r="A93" s="212"/>
      <c r="B93" s="247"/>
      <c r="C93" s="242"/>
      <c r="D93" s="38"/>
      <c r="E93" s="38"/>
      <c r="F93" s="213"/>
      <c r="G93" s="213"/>
    </row>
    <row r="94" spans="1:7" x14ac:dyDescent="0.25">
      <c r="A94" s="82" t="s">
        <v>486</v>
      </c>
      <c r="B94" s="223"/>
      <c r="C94" s="242"/>
      <c r="D94" s="38"/>
      <c r="E94" s="38"/>
      <c r="F94" s="224">
        <f>SUM(F95:F102)</f>
        <v>116869.32399999999</v>
      </c>
      <c r="G94" s="224">
        <f>SUM(G95:G102)</f>
        <v>25960</v>
      </c>
    </row>
    <row r="95" spans="1:7" ht="60" x14ac:dyDescent="0.25">
      <c r="A95" s="241">
        <v>6.1</v>
      </c>
      <c r="B95" s="223" t="s">
        <v>487</v>
      </c>
      <c r="C95" s="242" t="s">
        <v>153</v>
      </c>
      <c r="D95" s="38">
        <v>1000</v>
      </c>
      <c r="E95" s="38">
        <f>3*C6</f>
        <v>13.505700000000001</v>
      </c>
      <c r="F95" s="213">
        <f t="shared" ref="F95:F102" si="6">D95*E95</f>
        <v>13505.7</v>
      </c>
      <c r="G95" s="213">
        <f>F95/C6</f>
        <v>3000</v>
      </c>
    </row>
    <row r="96" spans="1:7" ht="60" x14ac:dyDescent="0.25">
      <c r="A96" s="241">
        <v>6.2</v>
      </c>
      <c r="B96" s="223" t="s">
        <v>488</v>
      </c>
      <c r="C96" s="242" t="s">
        <v>153</v>
      </c>
      <c r="D96" s="38">
        <v>200</v>
      </c>
      <c r="E96" s="38">
        <f>4*C6</f>
        <v>18.0076</v>
      </c>
      <c r="F96" s="213">
        <f t="shared" si="6"/>
        <v>3601.52</v>
      </c>
      <c r="G96" s="213">
        <f>F96/C6</f>
        <v>800</v>
      </c>
    </row>
    <row r="97" spans="1:7" ht="45" x14ac:dyDescent="0.25">
      <c r="A97" s="241">
        <v>6.3</v>
      </c>
      <c r="B97" s="223" t="s">
        <v>489</v>
      </c>
      <c r="C97" s="242" t="s">
        <v>153</v>
      </c>
      <c r="D97" s="38">
        <v>300</v>
      </c>
      <c r="E97" s="38">
        <f>4*C6</f>
        <v>18.0076</v>
      </c>
      <c r="F97" s="213">
        <f t="shared" si="6"/>
        <v>5402.28</v>
      </c>
      <c r="G97" s="213">
        <f>F97/C6</f>
        <v>1200</v>
      </c>
    </row>
    <row r="98" spans="1:7" ht="30" x14ac:dyDescent="0.25">
      <c r="A98" s="241">
        <v>6.4</v>
      </c>
      <c r="B98" s="223" t="s">
        <v>490</v>
      </c>
      <c r="C98" s="242" t="s">
        <v>153</v>
      </c>
      <c r="D98" s="38">
        <v>2700</v>
      </c>
      <c r="E98" s="38">
        <f>0.8*C6</f>
        <v>3.6015200000000003</v>
      </c>
      <c r="F98" s="213">
        <f t="shared" si="6"/>
        <v>9724.1040000000012</v>
      </c>
      <c r="G98" s="213">
        <f>F98/C6</f>
        <v>2160.0000000000005</v>
      </c>
    </row>
    <row r="99" spans="1:7" ht="45" x14ac:dyDescent="0.25">
      <c r="A99" s="241">
        <v>6.5</v>
      </c>
      <c r="B99" s="223" t="s">
        <v>491</v>
      </c>
      <c r="C99" s="242" t="s">
        <v>153</v>
      </c>
      <c r="D99" s="38">
        <v>650</v>
      </c>
      <c r="E99" s="38">
        <f>5*C6</f>
        <v>22.509499999999999</v>
      </c>
      <c r="F99" s="213">
        <f t="shared" si="6"/>
        <v>14631.174999999999</v>
      </c>
      <c r="G99" s="213">
        <f>F99/C6</f>
        <v>3250</v>
      </c>
    </row>
    <row r="100" spans="1:7" ht="30" x14ac:dyDescent="0.25">
      <c r="A100" s="241">
        <v>6.6</v>
      </c>
      <c r="B100" s="223" t="s">
        <v>492</v>
      </c>
      <c r="C100" s="242" t="s">
        <v>153</v>
      </c>
      <c r="D100" s="38">
        <v>40</v>
      </c>
      <c r="E100" s="38">
        <f>5*C6</f>
        <v>22.509499999999999</v>
      </c>
      <c r="F100" s="213">
        <f t="shared" si="6"/>
        <v>900.38</v>
      </c>
      <c r="G100" s="213">
        <f>F100/C6</f>
        <v>200</v>
      </c>
    </row>
    <row r="101" spans="1:7" ht="75" x14ac:dyDescent="0.25">
      <c r="A101" s="241">
        <v>6.7</v>
      </c>
      <c r="B101" s="223" t="s">
        <v>493</v>
      </c>
      <c r="C101" s="242" t="s">
        <v>153</v>
      </c>
      <c r="D101" s="38">
        <v>650</v>
      </c>
      <c r="E101" s="38">
        <f>7*C6</f>
        <v>31.513300000000001</v>
      </c>
      <c r="F101" s="213">
        <f t="shared" si="6"/>
        <v>20483.645</v>
      </c>
      <c r="G101" s="213">
        <f>F101/C6</f>
        <v>4550</v>
      </c>
    </row>
    <row r="102" spans="1:7" ht="30" x14ac:dyDescent="0.25">
      <c r="A102" s="241">
        <v>6.8</v>
      </c>
      <c r="B102" s="223" t="s">
        <v>494</v>
      </c>
      <c r="C102" s="242" t="s">
        <v>153</v>
      </c>
      <c r="D102" s="38">
        <v>900</v>
      </c>
      <c r="E102" s="38">
        <f>12*C6</f>
        <v>54.022800000000004</v>
      </c>
      <c r="F102" s="213">
        <f t="shared" si="6"/>
        <v>48620.520000000004</v>
      </c>
      <c r="G102" s="213">
        <f>F102/C6</f>
        <v>10800</v>
      </c>
    </row>
    <row r="103" spans="1:7" x14ac:dyDescent="0.25">
      <c r="A103" s="82" t="s">
        <v>495</v>
      </c>
      <c r="B103" s="223"/>
      <c r="C103" s="242"/>
      <c r="D103" s="38"/>
      <c r="E103" s="38"/>
      <c r="F103" s="224">
        <f>SUM(F104:F106)</f>
        <v>19223.112999999998</v>
      </c>
      <c r="G103" s="224">
        <f>SUM(G104:G106)</f>
        <v>4270</v>
      </c>
    </row>
    <row r="104" spans="1:7" ht="30" x14ac:dyDescent="0.25">
      <c r="A104" s="241">
        <v>7.1</v>
      </c>
      <c r="B104" s="223" t="s">
        <v>496</v>
      </c>
      <c r="C104" s="242" t="s">
        <v>153</v>
      </c>
      <c r="D104" s="38">
        <v>2700</v>
      </c>
      <c r="E104" s="38">
        <f>1.5*C6</f>
        <v>6.7528500000000005</v>
      </c>
      <c r="F104" s="213">
        <f>D104*E104</f>
        <v>18232.695</v>
      </c>
      <c r="G104" s="213">
        <f>F104/C6</f>
        <v>4050</v>
      </c>
    </row>
    <row r="105" spans="1:7" x14ac:dyDescent="0.25">
      <c r="A105" s="241">
        <v>7.2</v>
      </c>
      <c r="B105" s="223" t="s">
        <v>497</v>
      </c>
      <c r="C105" s="242" t="s">
        <v>153</v>
      </c>
      <c r="D105" s="38">
        <v>40</v>
      </c>
      <c r="E105" s="38">
        <f>2*C6</f>
        <v>9.0038</v>
      </c>
      <c r="F105" s="213">
        <f>D105*E105</f>
        <v>360.15199999999999</v>
      </c>
      <c r="G105" s="213">
        <f>F105/C6</f>
        <v>80</v>
      </c>
    </row>
    <row r="106" spans="1:7" ht="30" x14ac:dyDescent="0.25">
      <c r="A106" s="241">
        <v>7.3</v>
      </c>
      <c r="B106" s="223" t="s">
        <v>498</v>
      </c>
      <c r="C106" s="242" t="s">
        <v>153</v>
      </c>
      <c r="D106" s="38">
        <v>70</v>
      </c>
      <c r="E106" s="38">
        <f>2*C6</f>
        <v>9.0038</v>
      </c>
      <c r="F106" s="213">
        <f>D106*E106</f>
        <v>630.26599999999996</v>
      </c>
      <c r="G106" s="213">
        <f>F106/C6</f>
        <v>140</v>
      </c>
    </row>
    <row r="107" spans="1:7" x14ac:dyDescent="0.25">
      <c r="A107" s="82" t="s">
        <v>499</v>
      </c>
      <c r="B107" s="223"/>
      <c r="C107" s="242"/>
      <c r="D107" s="38"/>
      <c r="E107" s="38"/>
      <c r="F107" s="224">
        <f>SUM(F108:F111)</f>
        <v>19178.094000000001</v>
      </c>
      <c r="G107" s="224">
        <f>SUM(G108:G111)</f>
        <v>4260</v>
      </c>
    </row>
    <row r="108" spans="1:7" ht="90" x14ac:dyDescent="0.25">
      <c r="A108" s="241">
        <v>8.1</v>
      </c>
      <c r="B108" s="223" t="s">
        <v>500</v>
      </c>
      <c r="C108" s="242" t="s">
        <v>153</v>
      </c>
      <c r="D108" s="38">
        <v>190</v>
      </c>
      <c r="E108" s="38">
        <f>8*C6</f>
        <v>36.0152</v>
      </c>
      <c r="F108" s="213">
        <f>D108*E108</f>
        <v>6842.8879999999999</v>
      </c>
      <c r="G108" s="213">
        <f>F108/C6</f>
        <v>1520</v>
      </c>
    </row>
    <row r="109" spans="1:7" ht="30" x14ac:dyDescent="0.25">
      <c r="A109" s="241">
        <v>8.3000000000000007</v>
      </c>
      <c r="B109" s="223" t="s">
        <v>501</v>
      </c>
      <c r="C109" s="242" t="s">
        <v>147</v>
      </c>
      <c r="D109" s="38">
        <v>1500</v>
      </c>
      <c r="E109" s="38">
        <f>1*C6</f>
        <v>4.5019</v>
      </c>
      <c r="F109" s="213">
        <f>D109*E109</f>
        <v>6752.85</v>
      </c>
      <c r="G109" s="213">
        <f>F109/C6</f>
        <v>1500</v>
      </c>
    </row>
    <row r="110" spans="1:7" x14ac:dyDescent="0.25">
      <c r="A110" s="241">
        <v>8.4</v>
      </c>
      <c r="B110" s="223" t="s">
        <v>502</v>
      </c>
      <c r="C110" s="242" t="s">
        <v>162</v>
      </c>
      <c r="D110" s="38">
        <v>1.5</v>
      </c>
      <c r="E110" s="38">
        <f>160*C6</f>
        <v>720.30399999999997</v>
      </c>
      <c r="F110" s="213">
        <f>D110*E110</f>
        <v>1080.4559999999999</v>
      </c>
      <c r="G110" s="213">
        <f>F110/C6</f>
        <v>239.99999999999997</v>
      </c>
    </row>
    <row r="111" spans="1:7" x14ac:dyDescent="0.25">
      <c r="A111" s="241">
        <v>8.5</v>
      </c>
      <c r="B111" s="223" t="s">
        <v>503</v>
      </c>
      <c r="C111" s="242" t="s">
        <v>243</v>
      </c>
      <c r="D111" s="38">
        <v>1000</v>
      </c>
      <c r="E111" s="38">
        <f>1*C6</f>
        <v>4.5019</v>
      </c>
      <c r="F111" s="213">
        <f>D111*E111</f>
        <v>4501.8999999999996</v>
      </c>
      <c r="G111" s="213">
        <f>F111/C6</f>
        <v>999.99999999999989</v>
      </c>
    </row>
    <row r="112" spans="1:7" x14ac:dyDescent="0.25">
      <c r="A112" s="225"/>
      <c r="B112" s="226" t="s">
        <v>382</v>
      </c>
      <c r="C112" s="227"/>
      <c r="D112" s="228"/>
      <c r="E112" s="229"/>
      <c r="F112" s="224">
        <f>F9+F29+F37+F55+F70+F94+F103+F107</f>
        <v>580420.9632</v>
      </c>
      <c r="G112" s="224">
        <f>G9+G29+G37+G55+G70+G94+G103+G107</f>
        <v>128928</v>
      </c>
    </row>
    <row r="113" spans="1:7" ht="45.75" x14ac:dyDescent="0.25">
      <c r="A113" s="68"/>
      <c r="B113" s="249" t="s">
        <v>504</v>
      </c>
      <c r="C113" s="250"/>
      <c r="D113" s="251"/>
      <c r="E113" s="251"/>
      <c r="F113" s="251"/>
      <c r="G113" s="251"/>
    </row>
    <row r="114" spans="1:7" x14ac:dyDescent="0.25">
      <c r="B114" s="136" t="s">
        <v>194</v>
      </c>
    </row>
    <row r="115" spans="1:7" x14ac:dyDescent="0.25">
      <c r="B115" s="137" t="s">
        <v>195</v>
      </c>
    </row>
    <row r="116" spans="1:7" x14ac:dyDescent="0.25">
      <c r="B116" s="230"/>
    </row>
  </sheetData>
  <mergeCells count="5">
    <mergeCell ref="A4:F4"/>
    <mergeCell ref="A1:F1"/>
    <mergeCell ref="A2:F2"/>
    <mergeCell ref="A3:F3"/>
    <mergeCell ref="A5:F5"/>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F29" sqref="A1:G29"/>
    </sheetView>
  </sheetViews>
  <sheetFormatPr defaultRowHeight="15" x14ac:dyDescent="0.25"/>
  <cols>
    <col min="1" max="1" width="9.28515625" bestFit="1" customWidth="1"/>
    <col min="2" max="2" width="42.5703125" customWidth="1"/>
    <col min="3" max="3" width="9.28515625" bestFit="1" customWidth="1"/>
    <col min="4" max="4" width="14.5703125" customWidth="1"/>
    <col min="5" max="5" width="9.28515625" bestFit="1" customWidth="1"/>
    <col min="6" max="6" width="13" bestFit="1" customWidth="1"/>
    <col min="7" max="7" width="13" hidden="1" customWidth="1"/>
  </cols>
  <sheetData>
    <row r="1" spans="1:7" ht="34.5" customHeight="1" x14ac:dyDescent="0.25">
      <c r="B1" s="140" t="s">
        <v>248</v>
      </c>
    </row>
    <row r="2" spans="1:7" x14ac:dyDescent="0.25">
      <c r="B2" s="140" t="s">
        <v>29</v>
      </c>
    </row>
    <row r="3" spans="1:7" ht="15.75" x14ac:dyDescent="0.25">
      <c r="B3" s="85" t="s">
        <v>196</v>
      </c>
    </row>
    <row r="4" spans="1:7" ht="18.75" x14ac:dyDescent="0.3">
      <c r="B4" s="740" t="s">
        <v>517</v>
      </c>
      <c r="C4" s="740"/>
      <c r="D4" s="740"/>
      <c r="E4" s="740"/>
      <c r="F4" s="740"/>
      <c r="G4" s="740"/>
    </row>
    <row r="6" spans="1:7" ht="15.75" thickBot="1" x14ac:dyDescent="0.3">
      <c r="B6" s="29" t="s">
        <v>505</v>
      </c>
    </row>
    <row r="7" spans="1:7" ht="16.5" hidden="1" thickBot="1" x14ac:dyDescent="0.3">
      <c r="B7" s="23" t="s">
        <v>11</v>
      </c>
      <c r="C7" s="10">
        <v>4.5019</v>
      </c>
      <c r="D7" s="504" t="s">
        <v>10</v>
      </c>
      <c r="E7" s="504"/>
      <c r="F7" s="505" t="s">
        <v>671</v>
      </c>
      <c r="G7" s="505"/>
    </row>
    <row r="8" spans="1:7" ht="25.5" x14ac:dyDescent="0.25">
      <c r="A8" s="252" t="s">
        <v>0</v>
      </c>
      <c r="B8" s="252" t="s">
        <v>506</v>
      </c>
      <c r="C8" s="252" t="s">
        <v>507</v>
      </c>
      <c r="D8" s="252" t="s">
        <v>199</v>
      </c>
      <c r="E8" s="252" t="s">
        <v>200</v>
      </c>
      <c r="F8" s="252" t="s">
        <v>685</v>
      </c>
      <c r="G8" s="252" t="s">
        <v>201</v>
      </c>
    </row>
    <row r="9" spans="1:7" x14ac:dyDescent="0.25">
      <c r="A9" s="277">
        <v>0</v>
      </c>
      <c r="B9" s="253">
        <v>1</v>
      </c>
      <c r="C9" s="253">
        <v>2</v>
      </c>
      <c r="D9" s="253">
        <v>3</v>
      </c>
      <c r="E9" s="253">
        <v>5</v>
      </c>
      <c r="F9" s="253">
        <v>6</v>
      </c>
      <c r="G9" s="253">
        <v>6</v>
      </c>
    </row>
    <row r="10" spans="1:7" ht="33.75" customHeight="1" x14ac:dyDescent="0.25">
      <c r="A10" s="277">
        <v>1</v>
      </c>
      <c r="B10" s="272" t="s">
        <v>508</v>
      </c>
      <c r="C10" s="254" t="s">
        <v>153</v>
      </c>
      <c r="D10" s="255">
        <v>989</v>
      </c>
      <c r="E10" s="256">
        <f>14*C7</f>
        <v>63.026600000000002</v>
      </c>
      <c r="F10" s="257">
        <f>D10*E10</f>
        <v>62333.307400000005</v>
      </c>
      <c r="G10" s="257">
        <f>F10/C7</f>
        <v>13846.000000000002</v>
      </c>
    </row>
    <row r="11" spans="1:7" x14ac:dyDescent="0.25">
      <c r="A11" s="258"/>
      <c r="B11" s="273" t="s">
        <v>382</v>
      </c>
      <c r="C11" s="258"/>
      <c r="D11" s="258"/>
      <c r="E11" s="258"/>
      <c r="F11" s="259">
        <f>SUM(F10:F10)</f>
        <v>62333.307400000005</v>
      </c>
      <c r="G11" s="259">
        <f>SUM(G10:G10)</f>
        <v>13846.000000000002</v>
      </c>
    </row>
    <row r="12" spans="1:7" x14ac:dyDescent="0.25">
      <c r="A12" s="277">
        <v>2</v>
      </c>
      <c r="B12" s="274" t="s">
        <v>509</v>
      </c>
      <c r="C12" s="261" t="s">
        <v>153</v>
      </c>
      <c r="D12" s="255">
        <v>989</v>
      </c>
      <c r="E12" s="262">
        <f>13*C7</f>
        <v>58.524700000000003</v>
      </c>
      <c r="F12" s="263">
        <f>D12*E12</f>
        <v>57880.9283</v>
      </c>
      <c r="G12" s="263">
        <f>F12/C7</f>
        <v>12857</v>
      </c>
    </row>
    <row r="13" spans="1:7" x14ac:dyDescent="0.25">
      <c r="A13" s="258"/>
      <c r="B13" s="273" t="s">
        <v>382</v>
      </c>
      <c r="C13" s="258"/>
      <c r="D13" s="258"/>
      <c r="E13" s="258"/>
      <c r="F13" s="259">
        <f>SUM(F12:F12)</f>
        <v>57880.9283</v>
      </c>
      <c r="G13" s="259">
        <f>SUM(G12:G12)</f>
        <v>12857</v>
      </c>
    </row>
    <row r="14" spans="1:7" x14ac:dyDescent="0.25">
      <c r="A14" s="277">
        <v>3</v>
      </c>
      <c r="B14" s="274" t="s">
        <v>510</v>
      </c>
      <c r="C14" s="261" t="s">
        <v>153</v>
      </c>
      <c r="D14" s="255">
        <v>989</v>
      </c>
      <c r="E14" s="262">
        <f>13*C7</f>
        <v>58.524700000000003</v>
      </c>
      <c r="F14" s="263">
        <f>D14*E14</f>
        <v>57880.9283</v>
      </c>
      <c r="G14" s="263">
        <f>F14/C7</f>
        <v>12857</v>
      </c>
    </row>
    <row r="15" spans="1:7" x14ac:dyDescent="0.25">
      <c r="A15" s="258"/>
      <c r="B15" s="273" t="s">
        <v>382</v>
      </c>
      <c r="C15" s="258"/>
      <c r="D15" s="258"/>
      <c r="E15" s="258"/>
      <c r="F15" s="259">
        <f>SUM(F14:F14)</f>
        <v>57880.9283</v>
      </c>
      <c r="G15" s="259">
        <f>SUM(G14:G14)</f>
        <v>12857</v>
      </c>
    </row>
    <row r="16" spans="1:7" x14ac:dyDescent="0.25">
      <c r="A16" s="277">
        <v>4</v>
      </c>
      <c r="B16" s="274" t="s">
        <v>511</v>
      </c>
      <c r="C16" s="261" t="s">
        <v>153</v>
      </c>
      <c r="D16" s="255">
        <v>989</v>
      </c>
      <c r="E16" s="262">
        <f>2*C7</f>
        <v>9.0038</v>
      </c>
      <c r="F16" s="263">
        <f>D16*E16</f>
        <v>8904.7582000000002</v>
      </c>
      <c r="G16" s="263">
        <f>F16/C7</f>
        <v>1978</v>
      </c>
    </row>
    <row r="17" spans="1:7" x14ac:dyDescent="0.25">
      <c r="A17" s="258"/>
      <c r="B17" s="273" t="s">
        <v>382</v>
      </c>
      <c r="C17" s="258"/>
      <c r="D17" s="258"/>
      <c r="E17" s="258"/>
      <c r="F17" s="259">
        <f>SUM(F16:F16)</f>
        <v>8904.7582000000002</v>
      </c>
      <c r="G17" s="259">
        <f>SUM(G16:G16)</f>
        <v>1978</v>
      </c>
    </row>
    <row r="18" spans="1:7" x14ac:dyDescent="0.25">
      <c r="A18" s="277">
        <v>5</v>
      </c>
      <c r="B18" s="274" t="s">
        <v>512</v>
      </c>
      <c r="C18" s="261" t="s">
        <v>153</v>
      </c>
      <c r="D18" s="255">
        <v>989</v>
      </c>
      <c r="E18" s="262">
        <f>3*C7</f>
        <v>13.505700000000001</v>
      </c>
      <c r="F18" s="263">
        <f>D18*E18</f>
        <v>13357.1373</v>
      </c>
      <c r="G18" s="263">
        <f>F18/C7</f>
        <v>2967</v>
      </c>
    </row>
    <row r="19" spans="1:7" x14ac:dyDescent="0.25">
      <c r="A19" s="258"/>
      <c r="B19" s="273" t="s">
        <v>382</v>
      </c>
      <c r="C19" s="258"/>
      <c r="D19" s="258"/>
      <c r="E19" s="258"/>
      <c r="F19" s="259">
        <f>SUM(F18:F18)</f>
        <v>13357.1373</v>
      </c>
      <c r="G19" s="259">
        <f>SUM(G18:G18)</f>
        <v>2967</v>
      </c>
    </row>
    <row r="20" spans="1:7" x14ac:dyDescent="0.25">
      <c r="A20" s="279">
        <v>6</v>
      </c>
      <c r="B20" s="275" t="s">
        <v>513</v>
      </c>
      <c r="C20" s="264" t="s">
        <v>153</v>
      </c>
      <c r="D20" s="255">
        <v>989</v>
      </c>
      <c r="E20" s="265">
        <f>2*C7</f>
        <v>9.0038</v>
      </c>
      <c r="F20" s="263">
        <f>D20*E20</f>
        <v>8904.7582000000002</v>
      </c>
      <c r="G20" s="263">
        <f>F20/C7</f>
        <v>1978</v>
      </c>
    </row>
    <row r="21" spans="1:7" x14ac:dyDescent="0.25">
      <c r="A21" s="280"/>
      <c r="B21" s="276" t="s">
        <v>382</v>
      </c>
      <c r="C21" s="229"/>
      <c r="D21" s="255"/>
      <c r="E21" s="266"/>
      <c r="F21" s="260">
        <f>SUM(F20:F20)</f>
        <v>8904.7582000000002</v>
      </c>
      <c r="G21" s="260">
        <f>SUM(G20:G20)</f>
        <v>1978</v>
      </c>
    </row>
    <row r="22" spans="1:7" ht="25.5" x14ac:dyDescent="0.25">
      <c r="A22" s="279">
        <v>7</v>
      </c>
      <c r="B22" s="275" t="s">
        <v>515</v>
      </c>
      <c r="C22" s="264" t="s">
        <v>153</v>
      </c>
      <c r="D22" s="255">
        <v>989</v>
      </c>
      <c r="E22" s="268">
        <f>1*C7</f>
        <v>4.5019</v>
      </c>
      <c r="F22" s="269">
        <f>D22*E22</f>
        <v>4452.3791000000001</v>
      </c>
      <c r="G22" s="269">
        <f>F22/C7</f>
        <v>989</v>
      </c>
    </row>
    <row r="23" spans="1:7" x14ac:dyDescent="0.25">
      <c r="A23" s="280"/>
      <c r="B23" s="276" t="s">
        <v>382</v>
      </c>
      <c r="C23" s="229"/>
      <c r="D23" s="229"/>
      <c r="E23" s="270"/>
      <c r="F23" s="271">
        <f>SUM(F22:F22)</f>
        <v>4452.3791000000001</v>
      </c>
      <c r="G23" s="271">
        <f>SUM(G22:G22)</f>
        <v>989</v>
      </c>
    </row>
    <row r="24" spans="1:7" x14ac:dyDescent="0.25">
      <c r="A24" s="279">
        <v>8</v>
      </c>
      <c r="B24" s="275" t="s">
        <v>516</v>
      </c>
      <c r="C24" s="264" t="s">
        <v>153</v>
      </c>
      <c r="D24" s="255">
        <v>989</v>
      </c>
      <c r="E24" s="268">
        <f>12.7401415571*C7</f>
        <v>57.354843275908486</v>
      </c>
      <c r="F24" s="269">
        <f>D24*E24</f>
        <v>56723.939999873495</v>
      </c>
      <c r="G24" s="269">
        <f>F24/C7</f>
        <v>12599.9999999719</v>
      </c>
    </row>
    <row r="25" spans="1:7" x14ac:dyDescent="0.25">
      <c r="A25" s="284"/>
      <c r="B25" s="281" t="s">
        <v>382</v>
      </c>
      <c r="C25" s="282"/>
      <c r="D25" s="282"/>
      <c r="E25" s="283"/>
      <c r="F25" s="285">
        <f>SUM(F24:F24)</f>
        <v>56723.939999873495</v>
      </c>
      <c r="G25" s="285">
        <f>SUM(G24:G24)</f>
        <v>12599.9999999719</v>
      </c>
    </row>
    <row r="26" spans="1:7" x14ac:dyDescent="0.25">
      <c r="A26" s="266">
        <v>9</v>
      </c>
      <c r="B26" s="753" t="s">
        <v>8</v>
      </c>
      <c r="C26" s="754"/>
      <c r="D26" s="754"/>
      <c r="E26" s="755"/>
      <c r="F26" s="286">
        <f>F11+F13+F15+F17+F19+F21+F23+F24</f>
        <v>270438.13679987349</v>
      </c>
      <c r="G26" s="286">
        <f>G11+G13+G15+G17+G19+G21+G23+G24</f>
        <v>60071.9999999719</v>
      </c>
    </row>
    <row r="28" spans="1:7" x14ac:dyDescent="0.25">
      <c r="B28" s="136" t="s">
        <v>194</v>
      </c>
    </row>
    <row r="29" spans="1:7" x14ac:dyDescent="0.25">
      <c r="B29" s="137" t="s">
        <v>813</v>
      </c>
    </row>
    <row r="33" spans="2:2" x14ac:dyDescent="0.25">
      <c r="B33" t="s">
        <v>30</v>
      </c>
    </row>
  </sheetData>
  <mergeCells count="2">
    <mergeCell ref="B26:E26"/>
    <mergeCell ref="B4:G4"/>
  </mergeCell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F35" sqref="A1:F35"/>
    </sheetView>
  </sheetViews>
  <sheetFormatPr defaultRowHeight="15" x14ac:dyDescent="0.25"/>
  <cols>
    <col min="1" max="1" width="4.5703125" customWidth="1"/>
    <col min="2" max="2" width="30.42578125" customWidth="1"/>
    <col min="3" max="3" width="11.42578125" customWidth="1"/>
    <col min="4" max="4" width="9.42578125" customWidth="1"/>
    <col min="5" max="5" width="9.28515625" bestFit="1" customWidth="1"/>
    <col min="6" max="6" width="12.28515625" customWidth="1"/>
    <col min="7" max="7" width="12" hidden="1" customWidth="1"/>
    <col min="257" max="257" width="4.5703125" customWidth="1"/>
    <col min="258" max="258" width="42.28515625" customWidth="1"/>
    <col min="259" max="259" width="6.42578125" customWidth="1"/>
    <col min="260" max="260" width="9.42578125" customWidth="1"/>
    <col min="261" max="261" width="9.28515625" bestFit="1" customWidth="1"/>
    <col min="262" max="262" width="14.140625" bestFit="1" customWidth="1"/>
    <col min="513" max="513" width="4.5703125" customWidth="1"/>
    <col min="514" max="514" width="42.28515625" customWidth="1"/>
    <col min="515" max="515" width="6.42578125" customWidth="1"/>
    <col min="516" max="516" width="9.42578125" customWidth="1"/>
    <col min="517" max="517" width="9.28515625" bestFit="1" customWidth="1"/>
    <col min="518" max="518" width="14.140625" bestFit="1" customWidth="1"/>
    <col min="769" max="769" width="4.5703125" customWidth="1"/>
    <col min="770" max="770" width="42.28515625" customWidth="1"/>
    <col min="771" max="771" width="6.42578125" customWidth="1"/>
    <col min="772" max="772" width="9.42578125" customWidth="1"/>
    <col min="773" max="773" width="9.28515625" bestFit="1" customWidth="1"/>
    <col min="774" max="774" width="14.140625" bestFit="1" customWidth="1"/>
    <col min="1025" max="1025" width="4.5703125" customWidth="1"/>
    <col min="1026" max="1026" width="42.28515625" customWidth="1"/>
    <col min="1027" max="1027" width="6.42578125" customWidth="1"/>
    <col min="1028" max="1028" width="9.42578125" customWidth="1"/>
    <col min="1029" max="1029" width="9.28515625" bestFit="1" customWidth="1"/>
    <col min="1030" max="1030" width="14.140625" bestFit="1" customWidth="1"/>
    <col min="1281" max="1281" width="4.5703125" customWidth="1"/>
    <col min="1282" max="1282" width="42.28515625" customWidth="1"/>
    <col min="1283" max="1283" width="6.42578125" customWidth="1"/>
    <col min="1284" max="1284" width="9.42578125" customWidth="1"/>
    <col min="1285" max="1285" width="9.28515625" bestFit="1" customWidth="1"/>
    <col min="1286" max="1286" width="14.140625" bestFit="1" customWidth="1"/>
    <col min="1537" max="1537" width="4.5703125" customWidth="1"/>
    <col min="1538" max="1538" width="42.28515625" customWidth="1"/>
    <col min="1539" max="1539" width="6.42578125" customWidth="1"/>
    <col min="1540" max="1540" width="9.42578125" customWidth="1"/>
    <col min="1541" max="1541" width="9.28515625" bestFit="1" customWidth="1"/>
    <col min="1542" max="1542" width="14.140625" bestFit="1" customWidth="1"/>
    <col min="1793" max="1793" width="4.5703125" customWidth="1"/>
    <col min="1794" max="1794" width="42.28515625" customWidth="1"/>
    <col min="1795" max="1795" width="6.42578125" customWidth="1"/>
    <col min="1796" max="1796" width="9.42578125" customWidth="1"/>
    <col min="1797" max="1797" width="9.28515625" bestFit="1" customWidth="1"/>
    <col min="1798" max="1798" width="14.140625" bestFit="1" customWidth="1"/>
    <col min="2049" max="2049" width="4.5703125" customWidth="1"/>
    <col min="2050" max="2050" width="42.28515625" customWidth="1"/>
    <col min="2051" max="2051" width="6.42578125" customWidth="1"/>
    <col min="2052" max="2052" width="9.42578125" customWidth="1"/>
    <col min="2053" max="2053" width="9.28515625" bestFit="1" customWidth="1"/>
    <col min="2054" max="2054" width="14.140625" bestFit="1" customWidth="1"/>
    <col min="2305" max="2305" width="4.5703125" customWidth="1"/>
    <col min="2306" max="2306" width="42.28515625" customWidth="1"/>
    <col min="2307" max="2307" width="6.42578125" customWidth="1"/>
    <col min="2308" max="2308" width="9.42578125" customWidth="1"/>
    <col min="2309" max="2309" width="9.28515625" bestFit="1" customWidth="1"/>
    <col min="2310" max="2310" width="14.140625" bestFit="1" customWidth="1"/>
    <col min="2561" max="2561" width="4.5703125" customWidth="1"/>
    <col min="2562" max="2562" width="42.28515625" customWidth="1"/>
    <col min="2563" max="2563" width="6.42578125" customWidth="1"/>
    <col min="2564" max="2564" width="9.42578125" customWidth="1"/>
    <col min="2565" max="2565" width="9.28515625" bestFit="1" customWidth="1"/>
    <col min="2566" max="2566" width="14.140625" bestFit="1" customWidth="1"/>
    <col min="2817" max="2817" width="4.5703125" customWidth="1"/>
    <col min="2818" max="2818" width="42.28515625" customWidth="1"/>
    <col min="2819" max="2819" width="6.42578125" customWidth="1"/>
    <col min="2820" max="2820" width="9.42578125" customWidth="1"/>
    <col min="2821" max="2821" width="9.28515625" bestFit="1" customWidth="1"/>
    <col min="2822" max="2822" width="14.140625" bestFit="1" customWidth="1"/>
    <col min="3073" max="3073" width="4.5703125" customWidth="1"/>
    <col min="3074" max="3074" width="42.28515625" customWidth="1"/>
    <col min="3075" max="3075" width="6.42578125" customWidth="1"/>
    <col min="3076" max="3076" width="9.42578125" customWidth="1"/>
    <col min="3077" max="3077" width="9.28515625" bestFit="1" customWidth="1"/>
    <col min="3078" max="3078" width="14.140625" bestFit="1" customWidth="1"/>
    <col min="3329" max="3329" width="4.5703125" customWidth="1"/>
    <col min="3330" max="3330" width="42.28515625" customWidth="1"/>
    <col min="3331" max="3331" width="6.42578125" customWidth="1"/>
    <col min="3332" max="3332" width="9.42578125" customWidth="1"/>
    <col min="3333" max="3333" width="9.28515625" bestFit="1" customWidth="1"/>
    <col min="3334" max="3334" width="14.140625" bestFit="1" customWidth="1"/>
    <col min="3585" max="3585" width="4.5703125" customWidth="1"/>
    <col min="3586" max="3586" width="42.28515625" customWidth="1"/>
    <col min="3587" max="3587" width="6.42578125" customWidth="1"/>
    <col min="3588" max="3588" width="9.42578125" customWidth="1"/>
    <col min="3589" max="3589" width="9.28515625" bestFit="1" customWidth="1"/>
    <col min="3590" max="3590" width="14.140625" bestFit="1" customWidth="1"/>
    <col min="3841" max="3841" width="4.5703125" customWidth="1"/>
    <col min="3842" max="3842" width="42.28515625" customWidth="1"/>
    <col min="3843" max="3843" width="6.42578125" customWidth="1"/>
    <col min="3844" max="3844" width="9.42578125" customWidth="1"/>
    <col min="3845" max="3845" width="9.28515625" bestFit="1" customWidth="1"/>
    <col min="3846" max="3846" width="14.140625" bestFit="1" customWidth="1"/>
    <col min="4097" max="4097" width="4.5703125" customWidth="1"/>
    <col min="4098" max="4098" width="42.28515625" customWidth="1"/>
    <col min="4099" max="4099" width="6.42578125" customWidth="1"/>
    <col min="4100" max="4100" width="9.42578125" customWidth="1"/>
    <col min="4101" max="4101" width="9.28515625" bestFit="1" customWidth="1"/>
    <col min="4102" max="4102" width="14.140625" bestFit="1" customWidth="1"/>
    <col min="4353" max="4353" width="4.5703125" customWidth="1"/>
    <col min="4354" max="4354" width="42.28515625" customWidth="1"/>
    <col min="4355" max="4355" width="6.42578125" customWidth="1"/>
    <col min="4356" max="4356" width="9.42578125" customWidth="1"/>
    <col min="4357" max="4357" width="9.28515625" bestFit="1" customWidth="1"/>
    <col min="4358" max="4358" width="14.140625" bestFit="1" customWidth="1"/>
    <col min="4609" max="4609" width="4.5703125" customWidth="1"/>
    <col min="4610" max="4610" width="42.28515625" customWidth="1"/>
    <col min="4611" max="4611" width="6.42578125" customWidth="1"/>
    <col min="4612" max="4612" width="9.42578125" customWidth="1"/>
    <col min="4613" max="4613" width="9.28515625" bestFit="1" customWidth="1"/>
    <col min="4614" max="4614" width="14.140625" bestFit="1" customWidth="1"/>
    <col min="4865" max="4865" width="4.5703125" customWidth="1"/>
    <col min="4866" max="4866" width="42.28515625" customWidth="1"/>
    <col min="4867" max="4867" width="6.42578125" customWidth="1"/>
    <col min="4868" max="4868" width="9.42578125" customWidth="1"/>
    <col min="4869" max="4869" width="9.28515625" bestFit="1" customWidth="1"/>
    <col min="4870" max="4870" width="14.140625" bestFit="1" customWidth="1"/>
    <col min="5121" max="5121" width="4.5703125" customWidth="1"/>
    <col min="5122" max="5122" width="42.28515625" customWidth="1"/>
    <col min="5123" max="5123" width="6.42578125" customWidth="1"/>
    <col min="5124" max="5124" width="9.42578125" customWidth="1"/>
    <col min="5125" max="5125" width="9.28515625" bestFit="1" customWidth="1"/>
    <col min="5126" max="5126" width="14.140625" bestFit="1" customWidth="1"/>
    <col min="5377" max="5377" width="4.5703125" customWidth="1"/>
    <col min="5378" max="5378" width="42.28515625" customWidth="1"/>
    <col min="5379" max="5379" width="6.42578125" customWidth="1"/>
    <col min="5380" max="5380" width="9.42578125" customWidth="1"/>
    <col min="5381" max="5381" width="9.28515625" bestFit="1" customWidth="1"/>
    <col min="5382" max="5382" width="14.140625" bestFit="1" customWidth="1"/>
    <col min="5633" max="5633" width="4.5703125" customWidth="1"/>
    <col min="5634" max="5634" width="42.28515625" customWidth="1"/>
    <col min="5635" max="5635" width="6.42578125" customWidth="1"/>
    <col min="5636" max="5636" width="9.42578125" customWidth="1"/>
    <col min="5637" max="5637" width="9.28515625" bestFit="1" customWidth="1"/>
    <col min="5638" max="5638" width="14.140625" bestFit="1" customWidth="1"/>
    <col min="5889" max="5889" width="4.5703125" customWidth="1"/>
    <col min="5890" max="5890" width="42.28515625" customWidth="1"/>
    <col min="5891" max="5891" width="6.42578125" customWidth="1"/>
    <col min="5892" max="5892" width="9.42578125" customWidth="1"/>
    <col min="5893" max="5893" width="9.28515625" bestFit="1" customWidth="1"/>
    <col min="5894" max="5894" width="14.140625" bestFit="1" customWidth="1"/>
    <col min="6145" max="6145" width="4.5703125" customWidth="1"/>
    <col min="6146" max="6146" width="42.28515625" customWidth="1"/>
    <col min="6147" max="6147" width="6.42578125" customWidth="1"/>
    <col min="6148" max="6148" width="9.42578125" customWidth="1"/>
    <col min="6149" max="6149" width="9.28515625" bestFit="1" customWidth="1"/>
    <col min="6150" max="6150" width="14.140625" bestFit="1" customWidth="1"/>
    <col min="6401" max="6401" width="4.5703125" customWidth="1"/>
    <col min="6402" max="6402" width="42.28515625" customWidth="1"/>
    <col min="6403" max="6403" width="6.42578125" customWidth="1"/>
    <col min="6404" max="6404" width="9.42578125" customWidth="1"/>
    <col min="6405" max="6405" width="9.28515625" bestFit="1" customWidth="1"/>
    <col min="6406" max="6406" width="14.140625" bestFit="1" customWidth="1"/>
    <col min="6657" max="6657" width="4.5703125" customWidth="1"/>
    <col min="6658" max="6658" width="42.28515625" customWidth="1"/>
    <col min="6659" max="6659" width="6.42578125" customWidth="1"/>
    <col min="6660" max="6660" width="9.42578125" customWidth="1"/>
    <col min="6661" max="6661" width="9.28515625" bestFit="1" customWidth="1"/>
    <col min="6662" max="6662" width="14.140625" bestFit="1" customWidth="1"/>
    <col min="6913" max="6913" width="4.5703125" customWidth="1"/>
    <col min="6914" max="6914" width="42.28515625" customWidth="1"/>
    <col min="6915" max="6915" width="6.42578125" customWidth="1"/>
    <col min="6916" max="6916" width="9.42578125" customWidth="1"/>
    <col min="6917" max="6917" width="9.28515625" bestFit="1" customWidth="1"/>
    <col min="6918" max="6918" width="14.140625" bestFit="1" customWidth="1"/>
    <col min="7169" max="7169" width="4.5703125" customWidth="1"/>
    <col min="7170" max="7170" width="42.28515625" customWidth="1"/>
    <col min="7171" max="7171" width="6.42578125" customWidth="1"/>
    <col min="7172" max="7172" width="9.42578125" customWidth="1"/>
    <col min="7173" max="7173" width="9.28515625" bestFit="1" customWidth="1"/>
    <col min="7174" max="7174" width="14.140625" bestFit="1" customWidth="1"/>
    <col min="7425" max="7425" width="4.5703125" customWidth="1"/>
    <col min="7426" max="7426" width="42.28515625" customWidth="1"/>
    <col min="7427" max="7427" width="6.42578125" customWidth="1"/>
    <col min="7428" max="7428" width="9.42578125" customWidth="1"/>
    <col min="7429" max="7429" width="9.28515625" bestFit="1" customWidth="1"/>
    <col min="7430" max="7430" width="14.140625" bestFit="1" customWidth="1"/>
    <col min="7681" max="7681" width="4.5703125" customWidth="1"/>
    <col min="7682" max="7682" width="42.28515625" customWidth="1"/>
    <col min="7683" max="7683" width="6.42578125" customWidth="1"/>
    <col min="7684" max="7684" width="9.42578125" customWidth="1"/>
    <col min="7685" max="7685" width="9.28515625" bestFit="1" customWidth="1"/>
    <col min="7686" max="7686" width="14.140625" bestFit="1" customWidth="1"/>
    <col min="7937" max="7937" width="4.5703125" customWidth="1"/>
    <col min="7938" max="7938" width="42.28515625" customWidth="1"/>
    <col min="7939" max="7939" width="6.42578125" customWidth="1"/>
    <col min="7940" max="7940" width="9.42578125" customWidth="1"/>
    <col min="7941" max="7941" width="9.28515625" bestFit="1" customWidth="1"/>
    <col min="7942" max="7942" width="14.140625" bestFit="1" customWidth="1"/>
    <col min="8193" max="8193" width="4.5703125" customWidth="1"/>
    <col min="8194" max="8194" width="42.28515625" customWidth="1"/>
    <col min="8195" max="8195" width="6.42578125" customWidth="1"/>
    <col min="8196" max="8196" width="9.42578125" customWidth="1"/>
    <col min="8197" max="8197" width="9.28515625" bestFit="1" customWidth="1"/>
    <col min="8198" max="8198" width="14.140625" bestFit="1" customWidth="1"/>
    <col min="8449" max="8449" width="4.5703125" customWidth="1"/>
    <col min="8450" max="8450" width="42.28515625" customWidth="1"/>
    <col min="8451" max="8451" width="6.42578125" customWidth="1"/>
    <col min="8452" max="8452" width="9.42578125" customWidth="1"/>
    <col min="8453" max="8453" width="9.28515625" bestFit="1" customWidth="1"/>
    <col min="8454" max="8454" width="14.140625" bestFit="1" customWidth="1"/>
    <col min="8705" max="8705" width="4.5703125" customWidth="1"/>
    <col min="8706" max="8706" width="42.28515625" customWidth="1"/>
    <col min="8707" max="8707" width="6.42578125" customWidth="1"/>
    <col min="8708" max="8708" width="9.42578125" customWidth="1"/>
    <col min="8709" max="8709" width="9.28515625" bestFit="1" customWidth="1"/>
    <col min="8710" max="8710" width="14.140625" bestFit="1" customWidth="1"/>
    <col min="8961" max="8961" width="4.5703125" customWidth="1"/>
    <col min="8962" max="8962" width="42.28515625" customWidth="1"/>
    <col min="8963" max="8963" width="6.42578125" customWidth="1"/>
    <col min="8964" max="8964" width="9.42578125" customWidth="1"/>
    <col min="8965" max="8965" width="9.28515625" bestFit="1" customWidth="1"/>
    <col min="8966" max="8966" width="14.140625" bestFit="1" customWidth="1"/>
    <col min="9217" max="9217" width="4.5703125" customWidth="1"/>
    <col min="9218" max="9218" width="42.28515625" customWidth="1"/>
    <col min="9219" max="9219" width="6.42578125" customWidth="1"/>
    <col min="9220" max="9220" width="9.42578125" customWidth="1"/>
    <col min="9221" max="9221" width="9.28515625" bestFit="1" customWidth="1"/>
    <col min="9222" max="9222" width="14.140625" bestFit="1" customWidth="1"/>
    <col min="9473" max="9473" width="4.5703125" customWidth="1"/>
    <col min="9474" max="9474" width="42.28515625" customWidth="1"/>
    <col min="9475" max="9475" width="6.42578125" customWidth="1"/>
    <col min="9476" max="9476" width="9.42578125" customWidth="1"/>
    <col min="9477" max="9477" width="9.28515625" bestFit="1" customWidth="1"/>
    <col min="9478" max="9478" width="14.140625" bestFit="1" customWidth="1"/>
    <col min="9729" max="9729" width="4.5703125" customWidth="1"/>
    <col min="9730" max="9730" width="42.28515625" customWidth="1"/>
    <col min="9731" max="9731" width="6.42578125" customWidth="1"/>
    <col min="9732" max="9732" width="9.42578125" customWidth="1"/>
    <col min="9733" max="9733" width="9.28515625" bestFit="1" customWidth="1"/>
    <col min="9734" max="9734" width="14.140625" bestFit="1" customWidth="1"/>
    <col min="9985" max="9985" width="4.5703125" customWidth="1"/>
    <col min="9986" max="9986" width="42.28515625" customWidth="1"/>
    <col min="9987" max="9987" width="6.42578125" customWidth="1"/>
    <col min="9988" max="9988" width="9.42578125" customWidth="1"/>
    <col min="9989" max="9989" width="9.28515625" bestFit="1" customWidth="1"/>
    <col min="9990" max="9990" width="14.140625" bestFit="1" customWidth="1"/>
    <col min="10241" max="10241" width="4.5703125" customWidth="1"/>
    <col min="10242" max="10242" width="42.28515625" customWidth="1"/>
    <col min="10243" max="10243" width="6.42578125" customWidth="1"/>
    <col min="10244" max="10244" width="9.42578125" customWidth="1"/>
    <col min="10245" max="10245" width="9.28515625" bestFit="1" customWidth="1"/>
    <col min="10246" max="10246" width="14.140625" bestFit="1" customWidth="1"/>
    <col min="10497" max="10497" width="4.5703125" customWidth="1"/>
    <col min="10498" max="10498" width="42.28515625" customWidth="1"/>
    <col min="10499" max="10499" width="6.42578125" customWidth="1"/>
    <col min="10500" max="10500" width="9.42578125" customWidth="1"/>
    <col min="10501" max="10501" width="9.28515625" bestFit="1" customWidth="1"/>
    <col min="10502" max="10502" width="14.140625" bestFit="1" customWidth="1"/>
    <col min="10753" max="10753" width="4.5703125" customWidth="1"/>
    <col min="10754" max="10754" width="42.28515625" customWidth="1"/>
    <col min="10755" max="10755" width="6.42578125" customWidth="1"/>
    <col min="10756" max="10756" width="9.42578125" customWidth="1"/>
    <col min="10757" max="10757" width="9.28515625" bestFit="1" customWidth="1"/>
    <col min="10758" max="10758" width="14.140625" bestFit="1" customWidth="1"/>
    <col min="11009" max="11009" width="4.5703125" customWidth="1"/>
    <col min="11010" max="11010" width="42.28515625" customWidth="1"/>
    <col min="11011" max="11011" width="6.42578125" customWidth="1"/>
    <col min="11012" max="11012" width="9.42578125" customWidth="1"/>
    <col min="11013" max="11013" width="9.28515625" bestFit="1" customWidth="1"/>
    <col min="11014" max="11014" width="14.140625" bestFit="1" customWidth="1"/>
    <col min="11265" max="11265" width="4.5703125" customWidth="1"/>
    <col min="11266" max="11266" width="42.28515625" customWidth="1"/>
    <col min="11267" max="11267" width="6.42578125" customWidth="1"/>
    <col min="11268" max="11268" width="9.42578125" customWidth="1"/>
    <col min="11269" max="11269" width="9.28515625" bestFit="1" customWidth="1"/>
    <col min="11270" max="11270" width="14.140625" bestFit="1" customWidth="1"/>
    <col min="11521" max="11521" width="4.5703125" customWidth="1"/>
    <col min="11522" max="11522" width="42.28515625" customWidth="1"/>
    <col min="11523" max="11523" width="6.42578125" customWidth="1"/>
    <col min="11524" max="11524" width="9.42578125" customWidth="1"/>
    <col min="11525" max="11525" width="9.28515625" bestFit="1" customWidth="1"/>
    <col min="11526" max="11526" width="14.140625" bestFit="1" customWidth="1"/>
    <col min="11777" max="11777" width="4.5703125" customWidth="1"/>
    <col min="11778" max="11778" width="42.28515625" customWidth="1"/>
    <col min="11779" max="11779" width="6.42578125" customWidth="1"/>
    <col min="11780" max="11780" width="9.42578125" customWidth="1"/>
    <col min="11781" max="11781" width="9.28515625" bestFit="1" customWidth="1"/>
    <col min="11782" max="11782" width="14.140625" bestFit="1" customWidth="1"/>
    <col min="12033" max="12033" width="4.5703125" customWidth="1"/>
    <col min="12034" max="12034" width="42.28515625" customWidth="1"/>
    <col min="12035" max="12035" width="6.42578125" customWidth="1"/>
    <col min="12036" max="12036" width="9.42578125" customWidth="1"/>
    <col min="12037" max="12037" width="9.28515625" bestFit="1" customWidth="1"/>
    <col min="12038" max="12038" width="14.140625" bestFit="1" customWidth="1"/>
    <col min="12289" max="12289" width="4.5703125" customWidth="1"/>
    <col min="12290" max="12290" width="42.28515625" customWidth="1"/>
    <col min="12291" max="12291" width="6.42578125" customWidth="1"/>
    <col min="12292" max="12292" width="9.42578125" customWidth="1"/>
    <col min="12293" max="12293" width="9.28515625" bestFit="1" customWidth="1"/>
    <col min="12294" max="12294" width="14.140625" bestFit="1" customWidth="1"/>
    <col min="12545" max="12545" width="4.5703125" customWidth="1"/>
    <col min="12546" max="12546" width="42.28515625" customWidth="1"/>
    <col min="12547" max="12547" width="6.42578125" customWidth="1"/>
    <col min="12548" max="12548" width="9.42578125" customWidth="1"/>
    <col min="12549" max="12549" width="9.28515625" bestFit="1" customWidth="1"/>
    <col min="12550" max="12550" width="14.140625" bestFit="1" customWidth="1"/>
    <col min="12801" max="12801" width="4.5703125" customWidth="1"/>
    <col min="12802" max="12802" width="42.28515625" customWidth="1"/>
    <col min="12803" max="12803" width="6.42578125" customWidth="1"/>
    <col min="12804" max="12804" width="9.42578125" customWidth="1"/>
    <col min="12805" max="12805" width="9.28515625" bestFit="1" customWidth="1"/>
    <col min="12806" max="12806" width="14.140625" bestFit="1" customWidth="1"/>
    <col min="13057" max="13057" width="4.5703125" customWidth="1"/>
    <col min="13058" max="13058" width="42.28515625" customWidth="1"/>
    <col min="13059" max="13059" width="6.42578125" customWidth="1"/>
    <col min="13060" max="13060" width="9.42578125" customWidth="1"/>
    <col min="13061" max="13061" width="9.28515625" bestFit="1" customWidth="1"/>
    <col min="13062" max="13062" width="14.140625" bestFit="1" customWidth="1"/>
    <col min="13313" max="13313" width="4.5703125" customWidth="1"/>
    <col min="13314" max="13314" width="42.28515625" customWidth="1"/>
    <col min="13315" max="13315" width="6.42578125" customWidth="1"/>
    <col min="13316" max="13316" width="9.42578125" customWidth="1"/>
    <col min="13317" max="13317" width="9.28515625" bestFit="1" customWidth="1"/>
    <col min="13318" max="13318" width="14.140625" bestFit="1" customWidth="1"/>
    <col min="13569" max="13569" width="4.5703125" customWidth="1"/>
    <col min="13570" max="13570" width="42.28515625" customWidth="1"/>
    <col min="13571" max="13571" width="6.42578125" customWidth="1"/>
    <col min="13572" max="13572" width="9.42578125" customWidth="1"/>
    <col min="13573" max="13573" width="9.28515625" bestFit="1" customWidth="1"/>
    <col min="13574" max="13574" width="14.140625" bestFit="1" customWidth="1"/>
    <col min="13825" max="13825" width="4.5703125" customWidth="1"/>
    <col min="13826" max="13826" width="42.28515625" customWidth="1"/>
    <col min="13827" max="13827" width="6.42578125" customWidth="1"/>
    <col min="13828" max="13828" width="9.42578125" customWidth="1"/>
    <col min="13829" max="13829" width="9.28515625" bestFit="1" customWidth="1"/>
    <col min="13830" max="13830" width="14.140625" bestFit="1" customWidth="1"/>
    <col min="14081" max="14081" width="4.5703125" customWidth="1"/>
    <col min="14082" max="14082" width="42.28515625" customWidth="1"/>
    <col min="14083" max="14083" width="6.42578125" customWidth="1"/>
    <col min="14084" max="14084" width="9.42578125" customWidth="1"/>
    <col min="14085" max="14085" width="9.28515625" bestFit="1" customWidth="1"/>
    <col min="14086" max="14086" width="14.140625" bestFit="1" customWidth="1"/>
    <col min="14337" max="14337" width="4.5703125" customWidth="1"/>
    <col min="14338" max="14338" width="42.28515625" customWidth="1"/>
    <col min="14339" max="14339" width="6.42578125" customWidth="1"/>
    <col min="14340" max="14340" width="9.42578125" customWidth="1"/>
    <col min="14341" max="14341" width="9.28515625" bestFit="1" customWidth="1"/>
    <col min="14342" max="14342" width="14.140625" bestFit="1" customWidth="1"/>
    <col min="14593" max="14593" width="4.5703125" customWidth="1"/>
    <col min="14594" max="14594" width="42.28515625" customWidth="1"/>
    <col min="14595" max="14595" width="6.42578125" customWidth="1"/>
    <col min="14596" max="14596" width="9.42578125" customWidth="1"/>
    <col min="14597" max="14597" width="9.28515625" bestFit="1" customWidth="1"/>
    <col min="14598" max="14598" width="14.140625" bestFit="1" customWidth="1"/>
    <col min="14849" max="14849" width="4.5703125" customWidth="1"/>
    <col min="14850" max="14850" width="42.28515625" customWidth="1"/>
    <col min="14851" max="14851" width="6.42578125" customWidth="1"/>
    <col min="14852" max="14852" width="9.42578125" customWidth="1"/>
    <col min="14853" max="14853" width="9.28515625" bestFit="1" customWidth="1"/>
    <col min="14854" max="14854" width="14.140625" bestFit="1" customWidth="1"/>
    <col min="15105" max="15105" width="4.5703125" customWidth="1"/>
    <col min="15106" max="15106" width="42.28515625" customWidth="1"/>
    <col min="15107" max="15107" width="6.42578125" customWidth="1"/>
    <col min="15108" max="15108" width="9.42578125" customWidth="1"/>
    <col min="15109" max="15109" width="9.28515625" bestFit="1" customWidth="1"/>
    <col min="15110" max="15110" width="14.140625" bestFit="1" customWidth="1"/>
    <col min="15361" max="15361" width="4.5703125" customWidth="1"/>
    <col min="15362" max="15362" width="42.28515625" customWidth="1"/>
    <col min="15363" max="15363" width="6.42578125" customWidth="1"/>
    <col min="15364" max="15364" width="9.42578125" customWidth="1"/>
    <col min="15365" max="15365" width="9.28515625" bestFit="1" customWidth="1"/>
    <col min="15366" max="15366" width="14.140625" bestFit="1" customWidth="1"/>
    <col min="15617" max="15617" width="4.5703125" customWidth="1"/>
    <col min="15618" max="15618" width="42.28515625" customWidth="1"/>
    <col min="15619" max="15619" width="6.42578125" customWidth="1"/>
    <col min="15620" max="15620" width="9.42578125" customWidth="1"/>
    <col min="15621" max="15621" width="9.28515625" bestFit="1" customWidth="1"/>
    <col min="15622" max="15622" width="14.140625" bestFit="1" customWidth="1"/>
    <col min="15873" max="15873" width="4.5703125" customWidth="1"/>
    <col min="15874" max="15874" width="42.28515625" customWidth="1"/>
    <col min="15875" max="15875" width="6.42578125" customWidth="1"/>
    <col min="15876" max="15876" width="9.42578125" customWidth="1"/>
    <col min="15877" max="15877" width="9.28515625" bestFit="1" customWidth="1"/>
    <col min="15878" max="15878" width="14.140625" bestFit="1" customWidth="1"/>
    <col min="16129" max="16129" width="4.5703125" customWidth="1"/>
    <col min="16130" max="16130" width="42.28515625" customWidth="1"/>
    <col min="16131" max="16131" width="6.42578125" customWidth="1"/>
    <col min="16132" max="16132" width="9.42578125" customWidth="1"/>
    <col min="16133" max="16133" width="9.28515625" bestFit="1" customWidth="1"/>
    <col min="16134" max="16134" width="14.140625" bestFit="1" customWidth="1"/>
  </cols>
  <sheetData>
    <row r="1" spans="1:7" ht="22.5" customHeight="1" x14ac:dyDescent="0.25">
      <c r="B1" s="140" t="s">
        <v>248</v>
      </c>
    </row>
    <row r="2" spans="1:7" ht="24" x14ac:dyDescent="0.25">
      <c r="B2" s="140" t="s">
        <v>29</v>
      </c>
    </row>
    <row r="3" spans="1:7" x14ac:dyDescent="0.25">
      <c r="B3" t="s">
        <v>141</v>
      </c>
    </row>
    <row r="4" spans="1:7" ht="18" x14ac:dyDescent="0.25">
      <c r="A4" s="756" t="s">
        <v>518</v>
      </c>
      <c r="B4" s="756"/>
      <c r="C4" s="756"/>
      <c r="D4" s="756"/>
      <c r="E4" s="756"/>
      <c r="F4" s="756"/>
    </row>
    <row r="6" spans="1:7" ht="15.75" thickBot="1" x14ac:dyDescent="0.3">
      <c r="B6" s="29" t="s">
        <v>505</v>
      </c>
    </row>
    <row r="7" spans="1:7" ht="16.5" hidden="1" thickBot="1" x14ac:dyDescent="0.3">
      <c r="B7" s="23" t="s">
        <v>11</v>
      </c>
      <c r="C7" s="10">
        <v>4.5019</v>
      </c>
      <c r="D7" s="504" t="s">
        <v>10</v>
      </c>
      <c r="E7" s="504"/>
      <c r="F7" s="505" t="s">
        <v>671</v>
      </c>
      <c r="G7" s="505"/>
    </row>
    <row r="8" spans="1:7" ht="25.5" x14ac:dyDescent="0.25">
      <c r="A8" s="252" t="s">
        <v>0</v>
      </c>
      <c r="B8" s="252" t="s">
        <v>506</v>
      </c>
      <c r="C8" s="252" t="s">
        <v>507</v>
      </c>
      <c r="D8" s="252" t="s">
        <v>199</v>
      </c>
      <c r="E8" s="252" t="s">
        <v>200</v>
      </c>
      <c r="F8" s="252" t="s">
        <v>682</v>
      </c>
      <c r="G8" s="252" t="s">
        <v>682</v>
      </c>
    </row>
    <row r="9" spans="1:7" ht="15.75" thickBot="1" x14ac:dyDescent="0.3">
      <c r="A9" s="277">
        <v>0</v>
      </c>
      <c r="B9" s="277">
        <v>1</v>
      </c>
      <c r="C9" s="277">
        <v>2</v>
      </c>
      <c r="D9" s="291">
        <v>3</v>
      </c>
      <c r="E9" s="277"/>
      <c r="F9" s="277"/>
      <c r="G9" s="277"/>
    </row>
    <row r="10" spans="1:7" x14ac:dyDescent="0.25">
      <c r="A10" s="292">
        <v>1</v>
      </c>
      <c r="B10" s="293" t="s">
        <v>508</v>
      </c>
      <c r="C10" s="294" t="s">
        <v>153</v>
      </c>
      <c r="D10" s="295">
        <v>1140</v>
      </c>
      <c r="E10" s="296">
        <f>14*C7</f>
        <v>63.026600000000002</v>
      </c>
      <c r="F10" s="297">
        <f>D10*E10</f>
        <v>71850.324000000008</v>
      </c>
      <c r="G10" s="297">
        <f>F10/C7</f>
        <v>15960.000000000002</v>
      </c>
    </row>
    <row r="11" spans="1:7" ht="15.75" thickBot="1" x14ac:dyDescent="0.3">
      <c r="A11" s="298"/>
      <c r="B11" s="299" t="s">
        <v>382</v>
      </c>
      <c r="C11" s="300"/>
      <c r="D11" s="301"/>
      <c r="E11" s="300"/>
      <c r="F11" s="302">
        <f>SUM(F10:F10)</f>
        <v>71850.324000000008</v>
      </c>
      <c r="G11" s="302">
        <f>SUM(G10:G10)</f>
        <v>15960.000000000002</v>
      </c>
    </row>
    <row r="12" spans="1:7" ht="15.75" thickBot="1" x14ac:dyDescent="0.3">
      <c r="A12" s="68"/>
      <c r="B12" s="133"/>
      <c r="C12" s="68"/>
      <c r="D12" s="287"/>
      <c r="E12" s="68"/>
      <c r="F12" s="288"/>
      <c r="G12" s="288"/>
    </row>
    <row r="13" spans="1:7" x14ac:dyDescent="0.25">
      <c r="A13" s="303">
        <v>2</v>
      </c>
      <c r="B13" s="304" t="s">
        <v>509</v>
      </c>
      <c r="C13" s="305" t="s">
        <v>153</v>
      </c>
      <c r="D13" s="295">
        <v>1140</v>
      </c>
      <c r="E13" s="306">
        <f>13*C7</f>
        <v>58.524700000000003</v>
      </c>
      <c r="F13" s="307">
        <f>D13*E13</f>
        <v>66718.15800000001</v>
      </c>
      <c r="G13" s="307">
        <f>F13/C7</f>
        <v>14820.000000000002</v>
      </c>
    </row>
    <row r="14" spans="1:7" ht="15.75" thickBot="1" x14ac:dyDescent="0.3">
      <c r="A14" s="298"/>
      <c r="B14" s="299" t="s">
        <v>382</v>
      </c>
      <c r="C14" s="300"/>
      <c r="D14" s="301"/>
      <c r="E14" s="300"/>
      <c r="F14" s="302">
        <f>SUM(F13:F13)</f>
        <v>66718.15800000001</v>
      </c>
      <c r="G14" s="302">
        <f>SUM(G13:G13)</f>
        <v>14820.000000000002</v>
      </c>
    </row>
    <row r="15" spans="1:7" ht="15.75" thickBot="1" x14ac:dyDescent="0.3">
      <c r="A15" s="68"/>
      <c r="B15" s="133"/>
      <c r="C15" s="68"/>
      <c r="D15" s="287"/>
      <c r="E15" s="68"/>
      <c r="F15" s="288"/>
      <c r="G15" s="288"/>
    </row>
    <row r="16" spans="1:7" x14ac:dyDescent="0.25">
      <c r="A16" s="303">
        <v>3</v>
      </c>
      <c r="B16" s="304" t="s">
        <v>510</v>
      </c>
      <c r="C16" s="305" t="s">
        <v>153</v>
      </c>
      <c r="D16" s="295">
        <v>1140</v>
      </c>
      <c r="E16" s="306">
        <f>13*C7</f>
        <v>58.524700000000003</v>
      </c>
      <c r="F16" s="307">
        <f>D16*E16</f>
        <v>66718.15800000001</v>
      </c>
      <c r="G16" s="307">
        <f>F16/C7</f>
        <v>14820.000000000002</v>
      </c>
    </row>
    <row r="17" spans="1:7" ht="15.75" thickBot="1" x14ac:dyDescent="0.3">
      <c r="A17" s="298"/>
      <c r="B17" s="299" t="s">
        <v>382</v>
      </c>
      <c r="C17" s="300"/>
      <c r="D17" s="301"/>
      <c r="E17" s="300"/>
      <c r="F17" s="302">
        <f>SUM(F16:F16)</f>
        <v>66718.15800000001</v>
      </c>
      <c r="G17" s="302">
        <f>SUM(G16:G16)</f>
        <v>14820.000000000002</v>
      </c>
    </row>
    <row r="18" spans="1:7" ht="15.75" thickBot="1" x14ac:dyDescent="0.3">
      <c r="A18" s="68"/>
      <c r="B18" s="133"/>
      <c r="C18" s="68"/>
      <c r="D18" s="287"/>
      <c r="E18" s="68"/>
      <c r="F18" s="288"/>
      <c r="G18" s="288"/>
    </row>
    <row r="19" spans="1:7" x14ac:dyDescent="0.25">
      <c r="A19" s="303">
        <v>4</v>
      </c>
      <c r="B19" s="304" t="s">
        <v>511</v>
      </c>
      <c r="C19" s="305" t="s">
        <v>153</v>
      </c>
      <c r="D19" s="295">
        <v>1140</v>
      </c>
      <c r="E19" s="306">
        <f>2*C7</f>
        <v>9.0038</v>
      </c>
      <c r="F19" s="307">
        <f>D19*E19</f>
        <v>10264.332</v>
      </c>
      <c r="G19" s="307">
        <f>F19/C7</f>
        <v>2280</v>
      </c>
    </row>
    <row r="20" spans="1:7" ht="15.75" thickBot="1" x14ac:dyDescent="0.3">
      <c r="A20" s="308"/>
      <c r="B20" s="299" t="s">
        <v>382</v>
      </c>
      <c r="C20" s="300"/>
      <c r="D20" s="301"/>
      <c r="E20" s="300"/>
      <c r="F20" s="302">
        <f>SUM(F19:F19)</f>
        <v>10264.332</v>
      </c>
      <c r="G20" s="302">
        <f>SUM(G19:G19)</f>
        <v>2280</v>
      </c>
    </row>
    <row r="21" spans="1:7" ht="15.75" thickBot="1" x14ac:dyDescent="0.3">
      <c r="B21" s="69"/>
      <c r="C21" s="69"/>
      <c r="D21" s="287"/>
      <c r="E21" s="68"/>
    </row>
    <row r="22" spans="1:7" x14ac:dyDescent="0.25">
      <c r="A22" s="309">
        <v>5</v>
      </c>
      <c r="B22" s="293" t="s">
        <v>513</v>
      </c>
      <c r="C22" s="310" t="s">
        <v>153</v>
      </c>
      <c r="D22" s="295">
        <v>1140</v>
      </c>
      <c r="E22" s="296">
        <f>2*C7</f>
        <v>9.0038</v>
      </c>
      <c r="F22" s="307">
        <f>D22*E22</f>
        <v>10264.332</v>
      </c>
      <c r="G22" s="307">
        <f>F22/C7</f>
        <v>2280</v>
      </c>
    </row>
    <row r="23" spans="1:7" ht="15.75" thickBot="1" x14ac:dyDescent="0.3">
      <c r="A23" s="311"/>
      <c r="B23" s="231" t="s">
        <v>382</v>
      </c>
      <c r="C23" s="232"/>
      <c r="D23" s="312"/>
      <c r="E23" s="313"/>
      <c r="F23" s="314">
        <f>SUM(F22:F22)</f>
        <v>10264.332</v>
      </c>
      <c r="G23" s="314">
        <f>SUM(G22:G22)</f>
        <v>2280</v>
      </c>
    </row>
    <row r="24" spans="1:7" ht="15.75" thickBot="1" x14ac:dyDescent="0.3">
      <c r="A24" s="289"/>
      <c r="B24" s="133"/>
      <c r="C24" s="68"/>
      <c r="D24" s="287"/>
      <c r="E24" s="289"/>
      <c r="F24" s="288"/>
      <c r="G24" s="288"/>
    </row>
    <row r="25" spans="1:7" x14ac:dyDescent="0.25">
      <c r="A25" s="309">
        <v>6</v>
      </c>
      <c r="B25" s="293" t="s">
        <v>514</v>
      </c>
      <c r="C25" s="310" t="s">
        <v>153</v>
      </c>
      <c r="D25" s="295">
        <v>1140</v>
      </c>
      <c r="E25" s="296">
        <f>1*C7</f>
        <v>4.5019</v>
      </c>
      <c r="F25" s="307">
        <f>D25*E25</f>
        <v>5132.1660000000002</v>
      </c>
      <c r="G25" s="307">
        <f>F25/C7</f>
        <v>1140</v>
      </c>
    </row>
    <row r="26" spans="1:7" ht="15.75" thickBot="1" x14ac:dyDescent="0.3">
      <c r="A26" s="311"/>
      <c r="B26" s="231" t="s">
        <v>382</v>
      </c>
      <c r="C26" s="232"/>
      <c r="D26" s="315"/>
      <c r="E26" s="232"/>
      <c r="F26" s="314">
        <f>SUM(F25:F25)</f>
        <v>5132.1660000000002</v>
      </c>
      <c r="G26" s="314">
        <f>SUM(G25:G25)</f>
        <v>1140</v>
      </c>
    </row>
    <row r="27" spans="1:7" ht="15.75" thickBot="1" x14ac:dyDescent="0.3"/>
    <row r="28" spans="1:7" x14ac:dyDescent="0.25">
      <c r="A28" s="309">
        <v>7</v>
      </c>
      <c r="B28" s="293" t="s">
        <v>672</v>
      </c>
      <c r="C28" s="310" t="s">
        <v>153</v>
      </c>
      <c r="D28" s="295">
        <v>1140</v>
      </c>
      <c r="E28" s="296">
        <f>2.60263157894*C7</f>
        <v>11.716787105229987</v>
      </c>
      <c r="F28" s="307">
        <f>D28*E28</f>
        <v>13357.137299962185</v>
      </c>
      <c r="G28" s="307">
        <f>F28/C7</f>
        <v>2966.9999999916004</v>
      </c>
    </row>
    <row r="29" spans="1:7" ht="15.75" thickBot="1" x14ac:dyDescent="0.3">
      <c r="A29" s="311"/>
      <c r="B29" s="231" t="s">
        <v>382</v>
      </c>
      <c r="C29" s="232"/>
      <c r="D29" s="315"/>
      <c r="E29" s="232"/>
      <c r="F29" s="314">
        <f>SUM(F28:F28)</f>
        <v>13357.137299962185</v>
      </c>
      <c r="G29" s="314">
        <f>SUM(G28:G28)</f>
        <v>2966.9999999916004</v>
      </c>
    </row>
    <row r="30" spans="1:7" ht="15.75" thickBot="1" x14ac:dyDescent="0.3">
      <c r="A30" s="278"/>
      <c r="B30" s="133"/>
      <c r="C30" s="68"/>
      <c r="D30" s="287"/>
      <c r="E30" s="68"/>
      <c r="F30" s="288"/>
      <c r="G30" s="288"/>
    </row>
    <row r="31" spans="1:7" x14ac:dyDescent="0.25">
      <c r="A31" s="309">
        <v>8</v>
      </c>
      <c r="B31" s="293" t="s">
        <v>519</v>
      </c>
      <c r="C31" s="310" t="s">
        <v>153</v>
      </c>
      <c r="D31" s="295">
        <v>1140</v>
      </c>
      <c r="E31" s="296">
        <f>9.21052631578*C7</f>
        <v>41.464868421009982</v>
      </c>
      <c r="F31" s="307">
        <f>D31*E31</f>
        <v>47269.949999951379</v>
      </c>
      <c r="G31" s="307">
        <f>F31/C7</f>
        <v>10499.999999989201</v>
      </c>
    </row>
    <row r="32" spans="1:7" ht="15.75" thickBot="1" x14ac:dyDescent="0.3">
      <c r="A32" s="311"/>
      <c r="B32" s="231" t="s">
        <v>382</v>
      </c>
      <c r="C32" s="232"/>
      <c r="D32" s="315"/>
      <c r="E32" s="232"/>
      <c r="F32" s="314">
        <f>SUM(F31:F31)</f>
        <v>47269.949999951379</v>
      </c>
      <c r="G32" s="314">
        <f>SUM(G31:G31)</f>
        <v>10499.999999989201</v>
      </c>
    </row>
    <row r="33" spans="1:7" ht="15.75" thickBot="1" x14ac:dyDescent="0.3">
      <c r="A33" s="234">
        <v>8</v>
      </c>
      <c r="B33" s="757" t="s">
        <v>30</v>
      </c>
      <c r="C33" s="758"/>
      <c r="D33" s="758"/>
      <c r="E33" s="759"/>
      <c r="F33" s="316">
        <f>F11+F14+F17+F20+F23+F26+F29+F32</f>
        <v>291574.55729991361</v>
      </c>
      <c r="G33" s="316">
        <f>G11+G14+G17+G20+G23+G26+G29+G32</f>
        <v>64766.999999980813</v>
      </c>
    </row>
    <row r="34" spans="1:7" x14ac:dyDescent="0.25">
      <c r="B34" s="136" t="s">
        <v>194</v>
      </c>
    </row>
    <row r="35" spans="1:7" x14ac:dyDescent="0.25">
      <c r="B35" s="137" t="s">
        <v>814</v>
      </c>
      <c r="C35" s="29"/>
    </row>
  </sheetData>
  <mergeCells count="2">
    <mergeCell ref="A4:F4"/>
    <mergeCell ref="B33:E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F46" sqref="A1:F46"/>
    </sheetView>
  </sheetViews>
  <sheetFormatPr defaultRowHeight="15" x14ac:dyDescent="0.25"/>
  <cols>
    <col min="1" max="1" width="5.28515625" customWidth="1"/>
    <col min="2" max="2" width="43.42578125" customWidth="1"/>
    <col min="3" max="3" width="9.7109375" customWidth="1"/>
    <col min="4" max="4" width="10.85546875" customWidth="1"/>
    <col min="5" max="5" width="10" customWidth="1"/>
    <col min="6" max="6" width="13.42578125" bestFit="1" customWidth="1"/>
    <col min="7" max="7" width="12" hidden="1" customWidth="1"/>
    <col min="257" max="257" width="5.28515625" customWidth="1"/>
    <col min="258" max="258" width="43.42578125" customWidth="1"/>
    <col min="259" max="259" width="6.5703125" customWidth="1"/>
    <col min="260" max="260" width="10.85546875" customWidth="1"/>
    <col min="261" max="261" width="7.28515625" customWidth="1"/>
    <col min="513" max="513" width="5.28515625" customWidth="1"/>
    <col min="514" max="514" width="43.42578125" customWidth="1"/>
    <col min="515" max="515" width="6.5703125" customWidth="1"/>
    <col min="516" max="516" width="10.85546875" customWidth="1"/>
    <col min="517" max="517" width="7.28515625" customWidth="1"/>
    <col min="769" max="769" width="5.28515625" customWidth="1"/>
    <col min="770" max="770" width="43.42578125" customWidth="1"/>
    <col min="771" max="771" width="6.5703125" customWidth="1"/>
    <col min="772" max="772" width="10.85546875" customWidth="1"/>
    <col min="773" max="773" width="7.28515625" customWidth="1"/>
    <col min="1025" max="1025" width="5.28515625" customWidth="1"/>
    <col min="1026" max="1026" width="43.42578125" customWidth="1"/>
    <col min="1027" max="1027" width="6.5703125" customWidth="1"/>
    <col min="1028" max="1028" width="10.85546875" customWidth="1"/>
    <col min="1029" max="1029" width="7.28515625" customWidth="1"/>
    <col min="1281" max="1281" width="5.28515625" customWidth="1"/>
    <col min="1282" max="1282" width="43.42578125" customWidth="1"/>
    <col min="1283" max="1283" width="6.5703125" customWidth="1"/>
    <col min="1284" max="1284" width="10.85546875" customWidth="1"/>
    <col min="1285" max="1285" width="7.28515625" customWidth="1"/>
    <col min="1537" max="1537" width="5.28515625" customWidth="1"/>
    <col min="1538" max="1538" width="43.42578125" customWidth="1"/>
    <col min="1539" max="1539" width="6.5703125" customWidth="1"/>
    <col min="1540" max="1540" width="10.85546875" customWidth="1"/>
    <col min="1541" max="1541" width="7.28515625" customWidth="1"/>
    <col min="1793" max="1793" width="5.28515625" customWidth="1"/>
    <col min="1794" max="1794" width="43.42578125" customWidth="1"/>
    <col min="1795" max="1795" width="6.5703125" customWidth="1"/>
    <col min="1796" max="1796" width="10.85546875" customWidth="1"/>
    <col min="1797" max="1797" width="7.28515625" customWidth="1"/>
    <col min="2049" max="2049" width="5.28515625" customWidth="1"/>
    <col min="2050" max="2050" width="43.42578125" customWidth="1"/>
    <col min="2051" max="2051" width="6.5703125" customWidth="1"/>
    <col min="2052" max="2052" width="10.85546875" customWidth="1"/>
    <col min="2053" max="2053" width="7.28515625" customWidth="1"/>
    <col min="2305" max="2305" width="5.28515625" customWidth="1"/>
    <col min="2306" max="2306" width="43.42578125" customWidth="1"/>
    <col min="2307" max="2307" width="6.5703125" customWidth="1"/>
    <col min="2308" max="2308" width="10.85546875" customWidth="1"/>
    <col min="2309" max="2309" width="7.28515625" customWidth="1"/>
    <col min="2561" max="2561" width="5.28515625" customWidth="1"/>
    <col min="2562" max="2562" width="43.42578125" customWidth="1"/>
    <col min="2563" max="2563" width="6.5703125" customWidth="1"/>
    <col min="2564" max="2564" width="10.85546875" customWidth="1"/>
    <col min="2565" max="2565" width="7.28515625" customWidth="1"/>
    <col min="2817" max="2817" width="5.28515625" customWidth="1"/>
    <col min="2818" max="2818" width="43.42578125" customWidth="1"/>
    <col min="2819" max="2819" width="6.5703125" customWidth="1"/>
    <col min="2820" max="2820" width="10.85546875" customWidth="1"/>
    <col min="2821" max="2821" width="7.28515625" customWidth="1"/>
    <col min="3073" max="3073" width="5.28515625" customWidth="1"/>
    <col min="3074" max="3074" width="43.42578125" customWidth="1"/>
    <col min="3075" max="3075" width="6.5703125" customWidth="1"/>
    <col min="3076" max="3076" width="10.85546875" customWidth="1"/>
    <col min="3077" max="3077" width="7.28515625" customWidth="1"/>
    <col min="3329" max="3329" width="5.28515625" customWidth="1"/>
    <col min="3330" max="3330" width="43.42578125" customWidth="1"/>
    <col min="3331" max="3331" width="6.5703125" customWidth="1"/>
    <col min="3332" max="3332" width="10.85546875" customWidth="1"/>
    <col min="3333" max="3333" width="7.28515625" customWidth="1"/>
    <col min="3585" max="3585" width="5.28515625" customWidth="1"/>
    <col min="3586" max="3586" width="43.42578125" customWidth="1"/>
    <col min="3587" max="3587" width="6.5703125" customWidth="1"/>
    <col min="3588" max="3588" width="10.85546875" customWidth="1"/>
    <col min="3589" max="3589" width="7.28515625" customWidth="1"/>
    <col min="3841" max="3841" width="5.28515625" customWidth="1"/>
    <col min="3842" max="3842" width="43.42578125" customWidth="1"/>
    <col min="3843" max="3843" width="6.5703125" customWidth="1"/>
    <col min="3844" max="3844" width="10.85546875" customWidth="1"/>
    <col min="3845" max="3845" width="7.28515625" customWidth="1"/>
    <col min="4097" max="4097" width="5.28515625" customWidth="1"/>
    <col min="4098" max="4098" width="43.42578125" customWidth="1"/>
    <col min="4099" max="4099" width="6.5703125" customWidth="1"/>
    <col min="4100" max="4100" width="10.85546875" customWidth="1"/>
    <col min="4101" max="4101" width="7.28515625" customWidth="1"/>
    <col min="4353" max="4353" width="5.28515625" customWidth="1"/>
    <col min="4354" max="4354" width="43.42578125" customWidth="1"/>
    <col min="4355" max="4355" width="6.5703125" customWidth="1"/>
    <col min="4356" max="4356" width="10.85546875" customWidth="1"/>
    <col min="4357" max="4357" width="7.28515625" customWidth="1"/>
    <col min="4609" max="4609" width="5.28515625" customWidth="1"/>
    <col min="4610" max="4610" width="43.42578125" customWidth="1"/>
    <col min="4611" max="4611" width="6.5703125" customWidth="1"/>
    <col min="4612" max="4612" width="10.85546875" customWidth="1"/>
    <col min="4613" max="4613" width="7.28515625" customWidth="1"/>
    <col min="4865" max="4865" width="5.28515625" customWidth="1"/>
    <col min="4866" max="4866" width="43.42578125" customWidth="1"/>
    <col min="4867" max="4867" width="6.5703125" customWidth="1"/>
    <col min="4868" max="4868" width="10.85546875" customWidth="1"/>
    <col min="4869" max="4869" width="7.28515625" customWidth="1"/>
    <col min="5121" max="5121" width="5.28515625" customWidth="1"/>
    <col min="5122" max="5122" width="43.42578125" customWidth="1"/>
    <col min="5123" max="5123" width="6.5703125" customWidth="1"/>
    <col min="5124" max="5124" width="10.85546875" customWidth="1"/>
    <col min="5125" max="5125" width="7.28515625" customWidth="1"/>
    <col min="5377" max="5377" width="5.28515625" customWidth="1"/>
    <col min="5378" max="5378" width="43.42578125" customWidth="1"/>
    <col min="5379" max="5379" width="6.5703125" customWidth="1"/>
    <col min="5380" max="5380" width="10.85546875" customWidth="1"/>
    <col min="5381" max="5381" width="7.28515625" customWidth="1"/>
    <col min="5633" max="5633" width="5.28515625" customWidth="1"/>
    <col min="5634" max="5634" width="43.42578125" customWidth="1"/>
    <col min="5635" max="5635" width="6.5703125" customWidth="1"/>
    <col min="5636" max="5636" width="10.85546875" customWidth="1"/>
    <col min="5637" max="5637" width="7.28515625" customWidth="1"/>
    <col min="5889" max="5889" width="5.28515625" customWidth="1"/>
    <col min="5890" max="5890" width="43.42578125" customWidth="1"/>
    <col min="5891" max="5891" width="6.5703125" customWidth="1"/>
    <col min="5892" max="5892" width="10.85546875" customWidth="1"/>
    <col min="5893" max="5893" width="7.28515625" customWidth="1"/>
    <col min="6145" max="6145" width="5.28515625" customWidth="1"/>
    <col min="6146" max="6146" width="43.42578125" customWidth="1"/>
    <col min="6147" max="6147" width="6.5703125" customWidth="1"/>
    <col min="6148" max="6148" width="10.85546875" customWidth="1"/>
    <col min="6149" max="6149" width="7.28515625" customWidth="1"/>
    <col min="6401" max="6401" width="5.28515625" customWidth="1"/>
    <col min="6402" max="6402" width="43.42578125" customWidth="1"/>
    <col min="6403" max="6403" width="6.5703125" customWidth="1"/>
    <col min="6404" max="6404" width="10.85546875" customWidth="1"/>
    <col min="6405" max="6405" width="7.28515625" customWidth="1"/>
    <col min="6657" max="6657" width="5.28515625" customWidth="1"/>
    <col min="6658" max="6658" width="43.42578125" customWidth="1"/>
    <col min="6659" max="6659" width="6.5703125" customWidth="1"/>
    <col min="6660" max="6660" width="10.85546875" customWidth="1"/>
    <col min="6661" max="6661" width="7.28515625" customWidth="1"/>
    <col min="6913" max="6913" width="5.28515625" customWidth="1"/>
    <col min="6914" max="6914" width="43.42578125" customWidth="1"/>
    <col min="6915" max="6915" width="6.5703125" customWidth="1"/>
    <col min="6916" max="6916" width="10.85546875" customWidth="1"/>
    <col min="6917" max="6917" width="7.28515625" customWidth="1"/>
    <col min="7169" max="7169" width="5.28515625" customWidth="1"/>
    <col min="7170" max="7170" width="43.42578125" customWidth="1"/>
    <col min="7171" max="7171" width="6.5703125" customWidth="1"/>
    <col min="7172" max="7172" width="10.85546875" customWidth="1"/>
    <col min="7173" max="7173" width="7.28515625" customWidth="1"/>
    <col min="7425" max="7425" width="5.28515625" customWidth="1"/>
    <col min="7426" max="7426" width="43.42578125" customWidth="1"/>
    <col min="7427" max="7427" width="6.5703125" customWidth="1"/>
    <col min="7428" max="7428" width="10.85546875" customWidth="1"/>
    <col min="7429" max="7429" width="7.28515625" customWidth="1"/>
    <col min="7681" max="7681" width="5.28515625" customWidth="1"/>
    <col min="7682" max="7682" width="43.42578125" customWidth="1"/>
    <col min="7683" max="7683" width="6.5703125" customWidth="1"/>
    <col min="7684" max="7684" width="10.85546875" customWidth="1"/>
    <col min="7685" max="7685" width="7.28515625" customWidth="1"/>
    <col min="7937" max="7937" width="5.28515625" customWidth="1"/>
    <col min="7938" max="7938" width="43.42578125" customWidth="1"/>
    <col min="7939" max="7939" width="6.5703125" customWidth="1"/>
    <col min="7940" max="7940" width="10.85546875" customWidth="1"/>
    <col min="7941" max="7941" width="7.28515625" customWidth="1"/>
    <col min="8193" max="8193" width="5.28515625" customWidth="1"/>
    <col min="8194" max="8194" width="43.42578125" customWidth="1"/>
    <col min="8195" max="8195" width="6.5703125" customWidth="1"/>
    <col min="8196" max="8196" width="10.85546875" customWidth="1"/>
    <col min="8197" max="8197" width="7.28515625" customWidth="1"/>
    <col min="8449" max="8449" width="5.28515625" customWidth="1"/>
    <col min="8450" max="8450" width="43.42578125" customWidth="1"/>
    <col min="8451" max="8451" width="6.5703125" customWidth="1"/>
    <col min="8452" max="8452" width="10.85546875" customWidth="1"/>
    <col min="8453" max="8453" width="7.28515625" customWidth="1"/>
    <col min="8705" max="8705" width="5.28515625" customWidth="1"/>
    <col min="8706" max="8706" width="43.42578125" customWidth="1"/>
    <col min="8707" max="8707" width="6.5703125" customWidth="1"/>
    <col min="8708" max="8708" width="10.85546875" customWidth="1"/>
    <col min="8709" max="8709" width="7.28515625" customWidth="1"/>
    <col min="8961" max="8961" width="5.28515625" customWidth="1"/>
    <col min="8962" max="8962" width="43.42578125" customWidth="1"/>
    <col min="8963" max="8963" width="6.5703125" customWidth="1"/>
    <col min="8964" max="8964" width="10.85546875" customWidth="1"/>
    <col min="8965" max="8965" width="7.28515625" customWidth="1"/>
    <col min="9217" max="9217" width="5.28515625" customWidth="1"/>
    <col min="9218" max="9218" width="43.42578125" customWidth="1"/>
    <col min="9219" max="9219" width="6.5703125" customWidth="1"/>
    <col min="9220" max="9220" width="10.85546875" customWidth="1"/>
    <col min="9221" max="9221" width="7.28515625" customWidth="1"/>
    <col min="9473" max="9473" width="5.28515625" customWidth="1"/>
    <col min="9474" max="9474" width="43.42578125" customWidth="1"/>
    <col min="9475" max="9475" width="6.5703125" customWidth="1"/>
    <col min="9476" max="9476" width="10.85546875" customWidth="1"/>
    <col min="9477" max="9477" width="7.28515625" customWidth="1"/>
    <col min="9729" max="9729" width="5.28515625" customWidth="1"/>
    <col min="9730" max="9730" width="43.42578125" customWidth="1"/>
    <col min="9731" max="9731" width="6.5703125" customWidth="1"/>
    <col min="9732" max="9732" width="10.85546875" customWidth="1"/>
    <col min="9733" max="9733" width="7.28515625" customWidth="1"/>
    <col min="9985" max="9985" width="5.28515625" customWidth="1"/>
    <col min="9986" max="9986" width="43.42578125" customWidth="1"/>
    <col min="9987" max="9987" width="6.5703125" customWidth="1"/>
    <col min="9988" max="9988" width="10.85546875" customWidth="1"/>
    <col min="9989" max="9989" width="7.28515625" customWidth="1"/>
    <col min="10241" max="10241" width="5.28515625" customWidth="1"/>
    <col min="10242" max="10242" width="43.42578125" customWidth="1"/>
    <col min="10243" max="10243" width="6.5703125" customWidth="1"/>
    <col min="10244" max="10244" width="10.85546875" customWidth="1"/>
    <col min="10245" max="10245" width="7.28515625" customWidth="1"/>
    <col min="10497" max="10497" width="5.28515625" customWidth="1"/>
    <col min="10498" max="10498" width="43.42578125" customWidth="1"/>
    <col min="10499" max="10499" width="6.5703125" customWidth="1"/>
    <col min="10500" max="10500" width="10.85546875" customWidth="1"/>
    <col min="10501" max="10501" width="7.28515625" customWidth="1"/>
    <col min="10753" max="10753" width="5.28515625" customWidth="1"/>
    <col min="10754" max="10754" width="43.42578125" customWidth="1"/>
    <col min="10755" max="10755" width="6.5703125" customWidth="1"/>
    <col min="10756" max="10756" width="10.85546875" customWidth="1"/>
    <col min="10757" max="10757" width="7.28515625" customWidth="1"/>
    <col min="11009" max="11009" width="5.28515625" customWidth="1"/>
    <col min="11010" max="11010" width="43.42578125" customWidth="1"/>
    <col min="11011" max="11011" width="6.5703125" customWidth="1"/>
    <col min="11012" max="11012" width="10.85546875" customWidth="1"/>
    <col min="11013" max="11013" width="7.28515625" customWidth="1"/>
    <col min="11265" max="11265" width="5.28515625" customWidth="1"/>
    <col min="11266" max="11266" width="43.42578125" customWidth="1"/>
    <col min="11267" max="11267" width="6.5703125" customWidth="1"/>
    <col min="11268" max="11268" width="10.85546875" customWidth="1"/>
    <col min="11269" max="11269" width="7.28515625" customWidth="1"/>
    <col min="11521" max="11521" width="5.28515625" customWidth="1"/>
    <col min="11522" max="11522" width="43.42578125" customWidth="1"/>
    <col min="11523" max="11523" width="6.5703125" customWidth="1"/>
    <col min="11524" max="11524" width="10.85546875" customWidth="1"/>
    <col min="11525" max="11525" width="7.28515625" customWidth="1"/>
    <col min="11777" max="11777" width="5.28515625" customWidth="1"/>
    <col min="11778" max="11778" width="43.42578125" customWidth="1"/>
    <col min="11779" max="11779" width="6.5703125" customWidth="1"/>
    <col min="11780" max="11780" width="10.85546875" customWidth="1"/>
    <col min="11781" max="11781" width="7.28515625" customWidth="1"/>
    <col min="12033" max="12033" width="5.28515625" customWidth="1"/>
    <col min="12034" max="12034" width="43.42578125" customWidth="1"/>
    <col min="12035" max="12035" width="6.5703125" customWidth="1"/>
    <col min="12036" max="12036" width="10.85546875" customWidth="1"/>
    <col min="12037" max="12037" width="7.28515625" customWidth="1"/>
    <col min="12289" max="12289" width="5.28515625" customWidth="1"/>
    <col min="12290" max="12290" width="43.42578125" customWidth="1"/>
    <col min="12291" max="12291" width="6.5703125" customWidth="1"/>
    <col min="12292" max="12292" width="10.85546875" customWidth="1"/>
    <col min="12293" max="12293" width="7.28515625" customWidth="1"/>
    <col min="12545" max="12545" width="5.28515625" customWidth="1"/>
    <col min="12546" max="12546" width="43.42578125" customWidth="1"/>
    <col min="12547" max="12547" width="6.5703125" customWidth="1"/>
    <col min="12548" max="12548" width="10.85546875" customWidth="1"/>
    <col min="12549" max="12549" width="7.28515625" customWidth="1"/>
    <col min="12801" max="12801" width="5.28515625" customWidth="1"/>
    <col min="12802" max="12802" width="43.42578125" customWidth="1"/>
    <col min="12803" max="12803" width="6.5703125" customWidth="1"/>
    <col min="12804" max="12804" width="10.85546875" customWidth="1"/>
    <col min="12805" max="12805" width="7.28515625" customWidth="1"/>
    <col min="13057" max="13057" width="5.28515625" customWidth="1"/>
    <col min="13058" max="13058" width="43.42578125" customWidth="1"/>
    <col min="13059" max="13059" width="6.5703125" customWidth="1"/>
    <col min="13060" max="13060" width="10.85546875" customWidth="1"/>
    <col min="13061" max="13061" width="7.28515625" customWidth="1"/>
    <col min="13313" max="13313" width="5.28515625" customWidth="1"/>
    <col min="13314" max="13314" width="43.42578125" customWidth="1"/>
    <col min="13315" max="13315" width="6.5703125" customWidth="1"/>
    <col min="13316" max="13316" width="10.85546875" customWidth="1"/>
    <col min="13317" max="13317" width="7.28515625" customWidth="1"/>
    <col min="13569" max="13569" width="5.28515625" customWidth="1"/>
    <col min="13570" max="13570" width="43.42578125" customWidth="1"/>
    <col min="13571" max="13571" width="6.5703125" customWidth="1"/>
    <col min="13572" max="13572" width="10.85546875" customWidth="1"/>
    <col min="13573" max="13573" width="7.28515625" customWidth="1"/>
    <col min="13825" max="13825" width="5.28515625" customWidth="1"/>
    <col min="13826" max="13826" width="43.42578125" customWidth="1"/>
    <col min="13827" max="13827" width="6.5703125" customWidth="1"/>
    <col min="13828" max="13828" width="10.85546875" customWidth="1"/>
    <col min="13829" max="13829" width="7.28515625" customWidth="1"/>
    <col min="14081" max="14081" width="5.28515625" customWidth="1"/>
    <col min="14082" max="14082" width="43.42578125" customWidth="1"/>
    <col min="14083" max="14083" width="6.5703125" customWidth="1"/>
    <col min="14084" max="14084" width="10.85546875" customWidth="1"/>
    <col min="14085" max="14085" width="7.28515625" customWidth="1"/>
    <col min="14337" max="14337" width="5.28515625" customWidth="1"/>
    <col min="14338" max="14338" width="43.42578125" customWidth="1"/>
    <col min="14339" max="14339" width="6.5703125" customWidth="1"/>
    <col min="14340" max="14340" width="10.85546875" customWidth="1"/>
    <col min="14341" max="14341" width="7.28515625" customWidth="1"/>
    <col min="14593" max="14593" width="5.28515625" customWidth="1"/>
    <col min="14594" max="14594" width="43.42578125" customWidth="1"/>
    <col min="14595" max="14595" width="6.5703125" customWidth="1"/>
    <col min="14596" max="14596" width="10.85546875" customWidth="1"/>
    <col min="14597" max="14597" width="7.28515625" customWidth="1"/>
    <col min="14849" max="14849" width="5.28515625" customWidth="1"/>
    <col min="14850" max="14850" width="43.42578125" customWidth="1"/>
    <col min="14851" max="14851" width="6.5703125" customWidth="1"/>
    <col min="14852" max="14852" width="10.85546875" customWidth="1"/>
    <col min="14853" max="14853" width="7.28515625" customWidth="1"/>
    <col min="15105" max="15105" width="5.28515625" customWidth="1"/>
    <col min="15106" max="15106" width="43.42578125" customWidth="1"/>
    <col min="15107" max="15107" width="6.5703125" customWidth="1"/>
    <col min="15108" max="15108" width="10.85546875" customWidth="1"/>
    <col min="15109" max="15109" width="7.28515625" customWidth="1"/>
    <col min="15361" max="15361" width="5.28515625" customWidth="1"/>
    <col min="15362" max="15362" width="43.42578125" customWidth="1"/>
    <col min="15363" max="15363" width="6.5703125" customWidth="1"/>
    <col min="15364" max="15364" width="10.85546875" customWidth="1"/>
    <col min="15365" max="15365" width="7.28515625" customWidth="1"/>
    <col min="15617" max="15617" width="5.28515625" customWidth="1"/>
    <col min="15618" max="15618" width="43.42578125" customWidth="1"/>
    <col min="15619" max="15619" width="6.5703125" customWidth="1"/>
    <col min="15620" max="15620" width="10.85546875" customWidth="1"/>
    <col min="15621" max="15621" width="7.28515625" customWidth="1"/>
    <col min="15873" max="15873" width="5.28515625" customWidth="1"/>
    <col min="15874" max="15874" width="43.42578125" customWidth="1"/>
    <col min="15875" max="15875" width="6.5703125" customWidth="1"/>
    <col min="15876" max="15876" width="10.85546875" customWidth="1"/>
    <col min="15877" max="15877" width="7.28515625" customWidth="1"/>
    <col min="16129" max="16129" width="5.28515625" customWidth="1"/>
    <col min="16130" max="16130" width="43.42578125" customWidth="1"/>
    <col min="16131" max="16131" width="6.5703125" customWidth="1"/>
    <col min="16132" max="16132" width="10.85546875" customWidth="1"/>
    <col min="16133" max="16133" width="7.28515625" customWidth="1"/>
  </cols>
  <sheetData>
    <row r="1" spans="1:7" ht="31.5" customHeight="1" x14ac:dyDescent="0.25">
      <c r="B1" s="140" t="s">
        <v>248</v>
      </c>
    </row>
    <row r="2" spans="1:7" x14ac:dyDescent="0.25">
      <c r="B2" s="140" t="s">
        <v>29</v>
      </c>
    </row>
    <row r="3" spans="1:7" x14ac:dyDescent="0.25">
      <c r="B3" s="86"/>
    </row>
    <row r="4" spans="1:7" x14ac:dyDescent="0.25">
      <c r="B4" s="27" t="s">
        <v>196</v>
      </c>
    </row>
    <row r="5" spans="1:7" ht="15.75" x14ac:dyDescent="0.25">
      <c r="A5" s="760" t="s">
        <v>520</v>
      </c>
      <c r="B5" s="760"/>
      <c r="C5" s="760"/>
      <c r="D5" s="760"/>
    </row>
    <row r="6" spans="1:7" ht="15.75" thickBot="1" x14ac:dyDescent="0.3">
      <c r="A6" s="749" t="s">
        <v>521</v>
      </c>
      <c r="B6" s="749"/>
      <c r="C6" s="749"/>
      <c r="D6" s="749"/>
    </row>
    <row r="7" spans="1:7" ht="16.5" hidden="1" thickBot="1" x14ac:dyDescent="0.3">
      <c r="A7" s="506"/>
      <c r="B7" s="23" t="s">
        <v>11</v>
      </c>
      <c r="C7" s="10">
        <v>4.5019</v>
      </c>
      <c r="D7" s="504" t="s">
        <v>10</v>
      </c>
      <c r="E7" s="504"/>
      <c r="F7" s="505" t="s">
        <v>671</v>
      </c>
      <c r="G7" s="505"/>
    </row>
    <row r="8" spans="1:7" ht="27" thickBot="1" x14ac:dyDescent="0.3">
      <c r="A8" s="78" t="s">
        <v>0</v>
      </c>
      <c r="B8" s="317" t="s">
        <v>198</v>
      </c>
      <c r="C8" s="317" t="s">
        <v>37</v>
      </c>
      <c r="D8" s="317" t="s">
        <v>199</v>
      </c>
      <c r="E8" s="317" t="s">
        <v>200</v>
      </c>
      <c r="F8" s="317" t="s">
        <v>682</v>
      </c>
      <c r="G8" s="317" t="s">
        <v>201</v>
      </c>
    </row>
    <row r="9" spans="1:7" ht="21" customHeight="1" x14ac:dyDescent="0.25">
      <c r="A9" s="318">
        <v>1.1000000000000001</v>
      </c>
      <c r="B9" s="319" t="s">
        <v>522</v>
      </c>
      <c r="C9" s="320"/>
      <c r="D9" s="321"/>
      <c r="E9" s="322"/>
      <c r="F9" s="323"/>
      <c r="G9" s="323"/>
    </row>
    <row r="10" spans="1:7" ht="18" customHeight="1" x14ac:dyDescent="0.25">
      <c r="A10" s="243" t="s">
        <v>523</v>
      </c>
      <c r="B10" s="132" t="s">
        <v>524</v>
      </c>
      <c r="C10" s="324" t="s">
        <v>254</v>
      </c>
      <c r="D10" s="325">
        <v>20</v>
      </c>
      <c r="E10" s="326">
        <f>10*C7</f>
        <v>45.018999999999998</v>
      </c>
      <c r="F10" s="326">
        <f>D10*E10</f>
        <v>900.38</v>
      </c>
      <c r="G10" s="326">
        <f>F10/C7</f>
        <v>200</v>
      </c>
    </row>
    <row r="11" spans="1:7" ht="42" customHeight="1" x14ac:dyDescent="0.25">
      <c r="A11" s="243" t="s">
        <v>525</v>
      </c>
      <c r="B11" s="132" t="s">
        <v>206</v>
      </c>
      <c r="C11" s="261" t="s">
        <v>146</v>
      </c>
      <c r="D11" s="325">
        <v>8</v>
      </c>
      <c r="E11" s="327">
        <f>8*C7</f>
        <v>36.0152</v>
      </c>
      <c r="F11" s="328">
        <f>D11*E11</f>
        <v>288.1216</v>
      </c>
      <c r="G11" s="326">
        <f>F11/C7</f>
        <v>64</v>
      </c>
    </row>
    <row r="12" spans="1:7" ht="16.5" customHeight="1" x14ac:dyDescent="0.25">
      <c r="A12" s="243"/>
      <c r="B12" s="132" t="s">
        <v>526</v>
      </c>
      <c r="C12" s="261" t="s">
        <v>146</v>
      </c>
      <c r="D12" s="325">
        <v>2</v>
      </c>
      <c r="E12" s="327">
        <f>15*C7</f>
        <v>67.528499999999994</v>
      </c>
      <c r="F12" s="328">
        <f>D12*E12</f>
        <v>135.05699999999999</v>
      </c>
      <c r="G12" s="326">
        <f>F12/C7</f>
        <v>29.999999999999996</v>
      </c>
    </row>
    <row r="13" spans="1:7" ht="28.5" customHeight="1" x14ac:dyDescent="0.25">
      <c r="A13" s="243" t="s">
        <v>527</v>
      </c>
      <c r="B13" s="132" t="s">
        <v>528</v>
      </c>
      <c r="C13" s="261" t="s">
        <v>146</v>
      </c>
      <c r="D13" s="325">
        <v>6</v>
      </c>
      <c r="E13" s="327">
        <f>4*C7</f>
        <v>18.0076</v>
      </c>
      <c r="F13" s="328">
        <f>D13*E13</f>
        <v>108.04560000000001</v>
      </c>
      <c r="G13" s="326">
        <f>F13/C7</f>
        <v>24</v>
      </c>
    </row>
    <row r="14" spans="1:7" ht="12.75" customHeight="1" x14ac:dyDescent="0.25">
      <c r="A14" s="243"/>
      <c r="B14" s="226" t="s">
        <v>382</v>
      </c>
      <c r="C14" s="329"/>
      <c r="D14" s="330"/>
      <c r="E14" s="330"/>
      <c r="F14" s="331">
        <f>SUM(F10:F13)</f>
        <v>1431.6042</v>
      </c>
      <c r="G14" s="331">
        <f>SUM(G10:G13)</f>
        <v>318</v>
      </c>
    </row>
    <row r="15" spans="1:7" ht="15" customHeight="1" x14ac:dyDescent="0.25">
      <c r="A15" s="243"/>
      <c r="B15" s="132"/>
      <c r="C15" s="261"/>
      <c r="D15" s="327"/>
      <c r="E15" s="327"/>
      <c r="F15" s="328"/>
      <c r="G15" s="328"/>
    </row>
    <row r="16" spans="1:7" x14ac:dyDescent="0.25">
      <c r="A16" s="83">
        <v>1.2</v>
      </c>
      <c r="B16" s="333" t="s">
        <v>529</v>
      </c>
      <c r="C16" s="324"/>
      <c r="D16" s="327"/>
      <c r="E16" s="327"/>
      <c r="F16" s="327"/>
      <c r="G16" s="327"/>
    </row>
    <row r="17" spans="1:7" x14ac:dyDescent="0.25">
      <c r="A17" s="81" t="s">
        <v>523</v>
      </c>
      <c r="B17" s="334" t="s">
        <v>530</v>
      </c>
      <c r="C17" s="335" t="s">
        <v>254</v>
      </c>
      <c r="D17" s="336">
        <v>100</v>
      </c>
      <c r="E17" s="337">
        <f>10*C7</f>
        <v>45.018999999999998</v>
      </c>
      <c r="F17" s="328">
        <f t="shared" ref="F17:F23" si="0">D17*E17</f>
        <v>4501.8999999999996</v>
      </c>
      <c r="G17" s="328">
        <f>F17/C7</f>
        <v>999.99999999999989</v>
      </c>
    </row>
    <row r="18" spans="1:7" x14ac:dyDescent="0.25">
      <c r="A18" s="81" t="s">
        <v>525</v>
      </c>
      <c r="B18" s="334" t="s">
        <v>531</v>
      </c>
      <c r="C18" s="335" t="s">
        <v>43</v>
      </c>
      <c r="D18" s="325">
        <v>2</v>
      </c>
      <c r="E18" s="327">
        <f>150*C7</f>
        <v>675.28499999999997</v>
      </c>
      <c r="F18" s="328">
        <f t="shared" si="0"/>
        <v>1350.57</v>
      </c>
      <c r="G18" s="328">
        <f>F18/C7</f>
        <v>300</v>
      </c>
    </row>
    <row r="19" spans="1:7" x14ac:dyDescent="0.25">
      <c r="A19" s="81" t="s">
        <v>527</v>
      </c>
      <c r="B19" s="81" t="s">
        <v>532</v>
      </c>
      <c r="C19" s="335" t="s">
        <v>43</v>
      </c>
      <c r="D19" s="325">
        <v>2</v>
      </c>
      <c r="E19" s="327">
        <f>200*C7</f>
        <v>900.38</v>
      </c>
      <c r="F19" s="328">
        <f t="shared" si="0"/>
        <v>1800.76</v>
      </c>
      <c r="G19" s="328">
        <f>F19/C7</f>
        <v>400</v>
      </c>
    </row>
    <row r="20" spans="1:7" x14ac:dyDescent="0.25">
      <c r="A20" s="132" t="s">
        <v>533</v>
      </c>
      <c r="B20" s="132" t="s">
        <v>534</v>
      </c>
      <c r="C20" s="261" t="s">
        <v>43</v>
      </c>
      <c r="D20" s="325">
        <v>1</v>
      </c>
      <c r="E20" s="327">
        <f>80*C7</f>
        <v>360.15199999999999</v>
      </c>
      <c r="F20" s="328">
        <f t="shared" si="0"/>
        <v>360.15199999999999</v>
      </c>
      <c r="G20" s="328">
        <f>F20/C7</f>
        <v>80</v>
      </c>
    </row>
    <row r="21" spans="1:7" ht="38.25" x14ac:dyDescent="0.25">
      <c r="A21" s="132" t="s">
        <v>535</v>
      </c>
      <c r="B21" s="132" t="s">
        <v>206</v>
      </c>
      <c r="C21" s="261" t="s">
        <v>146</v>
      </c>
      <c r="D21" s="325">
        <v>84</v>
      </c>
      <c r="E21" s="327">
        <f>8*C7</f>
        <v>36.0152</v>
      </c>
      <c r="F21" s="328">
        <f t="shared" si="0"/>
        <v>3025.2768000000001</v>
      </c>
      <c r="G21" s="328">
        <f>F21/C7</f>
        <v>672</v>
      </c>
    </row>
    <row r="22" spans="1:7" ht="25.5" x14ac:dyDescent="0.25">
      <c r="A22" s="243" t="s">
        <v>536</v>
      </c>
      <c r="B22" s="132" t="s">
        <v>528</v>
      </c>
      <c r="C22" s="261" t="s">
        <v>146</v>
      </c>
      <c r="D22" s="325">
        <v>60</v>
      </c>
      <c r="E22" s="327">
        <f>4*C7</f>
        <v>18.0076</v>
      </c>
      <c r="F22" s="328">
        <f t="shared" si="0"/>
        <v>1080.4559999999999</v>
      </c>
      <c r="G22" s="328">
        <f>F22/C7</f>
        <v>239.99999999999997</v>
      </c>
    </row>
    <row r="23" spans="1:7" x14ac:dyDescent="0.25">
      <c r="A23" s="338" t="s">
        <v>537</v>
      </c>
      <c r="B23" s="339" t="s">
        <v>538</v>
      </c>
      <c r="C23" s="340" t="s">
        <v>146</v>
      </c>
      <c r="D23" s="341">
        <v>24</v>
      </c>
      <c r="E23" s="342">
        <f>15*C7</f>
        <v>67.528499999999994</v>
      </c>
      <c r="F23" s="328">
        <f t="shared" si="0"/>
        <v>1620.6839999999997</v>
      </c>
      <c r="G23" s="328">
        <f>F23/C7</f>
        <v>359.99999999999994</v>
      </c>
    </row>
    <row r="24" spans="1:7" x14ac:dyDescent="0.25">
      <c r="A24" s="343"/>
      <c r="B24" s="226" t="s">
        <v>382</v>
      </c>
      <c r="C24" s="329"/>
      <c r="D24" s="330"/>
      <c r="E24" s="330"/>
      <c r="F24" s="331">
        <f>SUM(F17:F23)</f>
        <v>13739.798799999999</v>
      </c>
      <c r="G24" s="331">
        <f>SUM(G17:G23)</f>
        <v>3052</v>
      </c>
    </row>
    <row r="25" spans="1:7" x14ac:dyDescent="0.25">
      <c r="A25" s="344"/>
      <c r="B25" s="27"/>
      <c r="C25" s="27"/>
      <c r="F25" s="345"/>
      <c r="G25" s="345"/>
    </row>
    <row r="26" spans="1:7" ht="18" customHeight="1" x14ac:dyDescent="0.25">
      <c r="A26" s="83">
        <v>1.3</v>
      </c>
      <c r="B26" s="83" t="s">
        <v>539</v>
      </c>
      <c r="C26" s="261"/>
      <c r="D26" s="327"/>
      <c r="E26" s="327"/>
      <c r="F26" s="346"/>
      <c r="G26" s="346"/>
    </row>
    <row r="27" spans="1:7" ht="18" customHeight="1" x14ac:dyDescent="0.25">
      <c r="A27" s="81" t="s">
        <v>523</v>
      </c>
      <c r="B27" s="334" t="s">
        <v>540</v>
      </c>
      <c r="C27" s="335" t="s">
        <v>254</v>
      </c>
      <c r="D27" s="336">
        <v>100</v>
      </c>
      <c r="E27" s="337">
        <f>15*C7</f>
        <v>67.528499999999994</v>
      </c>
      <c r="F27" s="328">
        <f>D27*E27</f>
        <v>6752.8499999999995</v>
      </c>
      <c r="G27" s="328">
        <f>F27/C7</f>
        <v>1499.9999999999998</v>
      </c>
    </row>
    <row r="28" spans="1:7" ht="18" customHeight="1" x14ac:dyDescent="0.25">
      <c r="A28" s="81" t="s">
        <v>525</v>
      </c>
      <c r="B28" s="334" t="s">
        <v>541</v>
      </c>
      <c r="C28" s="335" t="s">
        <v>43</v>
      </c>
      <c r="D28" s="325">
        <v>2</v>
      </c>
      <c r="E28" s="327">
        <f>250*C7</f>
        <v>1125.4749999999999</v>
      </c>
      <c r="F28" s="328">
        <f>D28*E28</f>
        <v>2250.9499999999998</v>
      </c>
      <c r="G28" s="328">
        <f>F28/C7</f>
        <v>499.99999999999994</v>
      </c>
    </row>
    <row r="29" spans="1:7" ht="44.25" customHeight="1" x14ac:dyDescent="0.25">
      <c r="A29" s="132" t="s">
        <v>535</v>
      </c>
      <c r="B29" s="132" t="s">
        <v>206</v>
      </c>
      <c r="C29" s="261" t="s">
        <v>146</v>
      </c>
      <c r="D29" s="325">
        <v>100</v>
      </c>
      <c r="E29" s="327">
        <f>8*C7</f>
        <v>36.0152</v>
      </c>
      <c r="F29" s="328">
        <f>D29*E29</f>
        <v>3601.52</v>
      </c>
      <c r="G29" s="328">
        <f>F29/C7</f>
        <v>800</v>
      </c>
    </row>
    <row r="30" spans="1:7" ht="15" customHeight="1" x14ac:dyDescent="0.25">
      <c r="A30" s="243" t="s">
        <v>536</v>
      </c>
      <c r="B30" s="132" t="s">
        <v>528</v>
      </c>
      <c r="C30" s="261" t="s">
        <v>146</v>
      </c>
      <c r="D30" s="325">
        <v>70</v>
      </c>
      <c r="E30" s="327">
        <f>4*C7</f>
        <v>18.0076</v>
      </c>
      <c r="F30" s="328">
        <f>D30*E30</f>
        <v>1260.5319999999999</v>
      </c>
      <c r="G30" s="328">
        <f>F30/C7</f>
        <v>280</v>
      </c>
    </row>
    <row r="31" spans="1:7" ht="16.5" customHeight="1" x14ac:dyDescent="0.25">
      <c r="A31" s="338" t="s">
        <v>537</v>
      </c>
      <c r="B31" s="339" t="s">
        <v>538</v>
      </c>
      <c r="C31" s="340" t="s">
        <v>146</v>
      </c>
      <c r="D31" s="341">
        <v>30</v>
      </c>
      <c r="E31" s="342">
        <f>15*C7</f>
        <v>67.528499999999994</v>
      </c>
      <c r="F31" s="328">
        <f>D31*E31</f>
        <v>2025.8549999999998</v>
      </c>
      <c r="G31" s="328">
        <f>F31/C7</f>
        <v>449.99999999999994</v>
      </c>
    </row>
    <row r="32" spans="1:7" ht="16.5" customHeight="1" x14ac:dyDescent="0.25">
      <c r="A32" s="343"/>
      <c r="B32" s="226" t="s">
        <v>382</v>
      </c>
      <c r="C32" s="329"/>
      <c r="D32" s="330"/>
      <c r="E32" s="330"/>
      <c r="F32" s="331">
        <f>SUM(F27:F31)</f>
        <v>15891.706999999999</v>
      </c>
      <c r="G32" s="331">
        <f>SUM(G27:G31)</f>
        <v>3530</v>
      </c>
    </row>
    <row r="33" spans="1:7" ht="12" customHeight="1" x14ac:dyDescent="0.25">
      <c r="A33" s="347"/>
      <c r="B33" s="348" t="s">
        <v>30</v>
      </c>
      <c r="C33" s="284"/>
      <c r="D33" s="349"/>
      <c r="E33" s="349"/>
      <c r="F33" s="350"/>
      <c r="G33" s="350"/>
    </row>
    <row r="34" spans="1:7" ht="13.5" customHeight="1" x14ac:dyDescent="0.25">
      <c r="A34" s="351" t="s">
        <v>542</v>
      </c>
      <c r="B34" s="761" t="s">
        <v>543</v>
      </c>
      <c r="C34" s="761"/>
      <c r="D34" s="330"/>
      <c r="E34" s="330"/>
      <c r="F34" s="332"/>
      <c r="G34" s="332"/>
    </row>
    <row r="35" spans="1:7" ht="37.5" customHeight="1" x14ac:dyDescent="0.25">
      <c r="A35" s="352" t="s">
        <v>544</v>
      </c>
      <c r="B35" s="353" t="s">
        <v>206</v>
      </c>
      <c r="C35" s="284" t="s">
        <v>146</v>
      </c>
      <c r="D35" s="354">
        <v>50</v>
      </c>
      <c r="E35" s="354">
        <f>8*C7</f>
        <v>36.0152</v>
      </c>
      <c r="F35" s="355">
        <f t="shared" ref="F35:F41" si="1">D35*E35</f>
        <v>1800.76</v>
      </c>
      <c r="G35" s="355">
        <f>F35/C7</f>
        <v>400</v>
      </c>
    </row>
    <row r="36" spans="1:7" ht="27.75" customHeight="1" x14ac:dyDescent="0.25">
      <c r="A36" s="356" t="s">
        <v>545</v>
      </c>
      <c r="B36" s="132" t="s">
        <v>528</v>
      </c>
      <c r="C36" s="261" t="s">
        <v>146</v>
      </c>
      <c r="D36" s="262">
        <v>35</v>
      </c>
      <c r="E36" s="327">
        <f>4*C7</f>
        <v>18.0076</v>
      </c>
      <c r="F36" s="328">
        <f t="shared" si="1"/>
        <v>630.26599999999996</v>
      </c>
      <c r="G36" s="328">
        <f>F36/C7</f>
        <v>140</v>
      </c>
    </row>
    <row r="37" spans="1:7" ht="13.5" customHeight="1" x14ac:dyDescent="0.25">
      <c r="A37" t="s">
        <v>546</v>
      </c>
      <c r="B37" s="339" t="s">
        <v>538</v>
      </c>
      <c r="C37" s="340" t="s">
        <v>146</v>
      </c>
      <c r="D37" s="357">
        <v>15</v>
      </c>
      <c r="E37" s="342">
        <f>15*C7</f>
        <v>67.528499999999994</v>
      </c>
      <c r="F37" s="328">
        <f t="shared" si="1"/>
        <v>1012.9274999999999</v>
      </c>
      <c r="G37" s="328">
        <f>F37/C7</f>
        <v>224.99999999999997</v>
      </c>
    </row>
    <row r="38" spans="1:7" x14ac:dyDescent="0.25">
      <c r="B38" s="334" t="s">
        <v>547</v>
      </c>
      <c r="C38" s="335" t="s">
        <v>254</v>
      </c>
      <c r="D38" s="336">
        <v>100</v>
      </c>
      <c r="E38" s="337">
        <f>10*C7</f>
        <v>45.018999999999998</v>
      </c>
      <c r="F38" s="328">
        <f t="shared" si="1"/>
        <v>4501.8999999999996</v>
      </c>
      <c r="G38" s="328">
        <f>F38/C7</f>
        <v>999.99999999999989</v>
      </c>
    </row>
    <row r="39" spans="1:7" x14ac:dyDescent="0.25">
      <c r="A39" s="358" t="s">
        <v>548</v>
      </c>
      <c r="B39" s="81" t="s">
        <v>549</v>
      </c>
      <c r="C39" s="261" t="s">
        <v>43</v>
      </c>
      <c r="D39" s="262">
        <v>2</v>
      </c>
      <c r="E39" s="262">
        <f>5*C7</f>
        <v>22.509499999999999</v>
      </c>
      <c r="F39" s="328">
        <f t="shared" si="1"/>
        <v>45.018999999999998</v>
      </c>
      <c r="G39" s="328">
        <f>F39/C7</f>
        <v>10</v>
      </c>
    </row>
    <row r="40" spans="1:7" x14ac:dyDescent="0.25">
      <c r="A40" s="358" t="s">
        <v>550</v>
      </c>
      <c r="B40" s="132" t="s">
        <v>551</v>
      </c>
      <c r="C40" s="261" t="s">
        <v>43</v>
      </c>
      <c r="D40" s="359">
        <v>2</v>
      </c>
      <c r="E40" s="359">
        <f>30*C7</f>
        <v>135.05699999999999</v>
      </c>
      <c r="F40" s="328">
        <f t="shared" si="1"/>
        <v>270.11399999999998</v>
      </c>
      <c r="G40" s="328">
        <f>F40/C7</f>
        <v>59.999999999999993</v>
      </c>
    </row>
    <row r="41" spans="1:7" ht="15.75" customHeight="1" x14ac:dyDescent="0.25">
      <c r="A41" s="358" t="s">
        <v>552</v>
      </c>
      <c r="B41" s="360" t="s">
        <v>553</v>
      </c>
      <c r="C41" s="340" t="s">
        <v>254</v>
      </c>
      <c r="D41" s="357">
        <v>10</v>
      </c>
      <c r="E41" s="357">
        <f>12*C7</f>
        <v>54.022800000000004</v>
      </c>
      <c r="F41" s="328">
        <f t="shared" si="1"/>
        <v>540.22800000000007</v>
      </c>
      <c r="G41" s="328">
        <f>F41/C7</f>
        <v>120.00000000000001</v>
      </c>
    </row>
    <row r="42" spans="1:7" x14ac:dyDescent="0.25">
      <c r="A42" s="343"/>
      <c r="B42" s="226" t="s">
        <v>382</v>
      </c>
      <c r="C42" s="329"/>
      <c r="D42" s="330"/>
      <c r="E42" s="330"/>
      <c r="F42" s="331">
        <f>SUM(F35:F41)</f>
        <v>8801.2144999999982</v>
      </c>
      <c r="G42" s="331">
        <f>SUM(G35:G41)</f>
        <v>1955</v>
      </c>
    </row>
    <row r="43" spans="1:7" x14ac:dyDescent="0.25">
      <c r="A43" s="343"/>
      <c r="B43" s="370" t="s">
        <v>8</v>
      </c>
      <c r="C43" s="329"/>
      <c r="D43" s="330"/>
      <c r="E43" s="330"/>
      <c r="F43" s="331">
        <f>F14+F24+F32+F42</f>
        <v>39864.324499999995</v>
      </c>
      <c r="G43" s="331">
        <f>G14+G24+G32+G42</f>
        <v>8855</v>
      </c>
    </row>
    <row r="44" spans="1:7" x14ac:dyDescent="0.25">
      <c r="A44" s="361"/>
      <c r="B44" s="362"/>
      <c r="C44" s="363"/>
      <c r="D44" s="364"/>
      <c r="E44" s="364"/>
      <c r="F44" s="364"/>
      <c r="G44" s="364"/>
    </row>
    <row r="45" spans="1:7" x14ac:dyDescent="0.25">
      <c r="A45" s="365"/>
      <c r="B45" s="136" t="s">
        <v>194</v>
      </c>
      <c r="C45" s="366"/>
      <c r="D45" s="367"/>
    </row>
    <row r="46" spans="1:7" x14ac:dyDescent="0.25">
      <c r="A46" s="368"/>
      <c r="B46" s="137" t="s">
        <v>815</v>
      </c>
      <c r="C46" s="250"/>
      <c r="D46" s="369"/>
    </row>
    <row r="47" spans="1:7" x14ac:dyDescent="0.25">
      <c r="A47" s="368"/>
      <c r="C47" s="250"/>
      <c r="D47" s="369"/>
    </row>
    <row r="48" spans="1:7" x14ac:dyDescent="0.25">
      <c r="A48" s="368"/>
      <c r="C48" s="250"/>
      <c r="D48" s="369"/>
    </row>
    <row r="49" spans="1:4" x14ac:dyDescent="0.25">
      <c r="A49" s="368"/>
      <c r="B49" s="246"/>
      <c r="C49" s="250"/>
      <c r="D49" s="369"/>
    </row>
  </sheetData>
  <mergeCells count="3">
    <mergeCell ref="A5:D5"/>
    <mergeCell ref="A6:D6"/>
    <mergeCell ref="B34:C34"/>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25</vt:i4>
      </vt:variant>
      <vt:variant>
        <vt:lpstr>Zone denumite</vt:lpstr>
      </vt:variant>
      <vt:variant>
        <vt:i4>24</vt:i4>
      </vt:variant>
    </vt:vector>
  </HeadingPairs>
  <TitlesOfParts>
    <vt:vector size="49" baseType="lpstr">
      <vt:lpstr>Dotari</vt:lpstr>
      <vt:lpstr>Utilaje, echipamente cu montaj</vt:lpstr>
      <vt:lpstr>LE-structura corp nou</vt:lpstr>
      <vt:lpstr>LE-arh corp nou</vt:lpstr>
      <vt:lpstr>LE-reabilitare structura</vt:lpstr>
      <vt:lpstr>LE-reabilitare arh</vt:lpstr>
      <vt:lpstr>LE-inst interioare corp nou</vt:lpstr>
      <vt:lpstr>LE-inst int reabilitare</vt:lpstr>
      <vt:lpstr>LE-RET EXT</vt:lpstr>
      <vt:lpstr>TJ+TS</vt:lpstr>
      <vt:lpstr>SIST VERT</vt:lpstr>
      <vt:lpstr>PLATF. BET</vt:lpstr>
      <vt:lpstr>BRANSAMENTE</vt:lpstr>
      <vt:lpstr>montaj uti</vt:lpstr>
      <vt:lpstr>DG cu surse de finantare</vt:lpstr>
      <vt:lpstr>DG1</vt:lpstr>
      <vt:lpstr>D09F </vt:lpstr>
      <vt:lpstr>D08F </vt:lpstr>
      <vt:lpstr>D07F  </vt:lpstr>
      <vt:lpstr>D06F  </vt:lpstr>
      <vt:lpstr>D05F </vt:lpstr>
      <vt:lpstr>D04F</vt:lpstr>
      <vt:lpstr>D03F</vt:lpstr>
      <vt:lpstr>D02F </vt:lpstr>
      <vt:lpstr>D01F</vt:lpstr>
      <vt:lpstr>BRANSAMENTE!Zona_de_imprimat</vt:lpstr>
      <vt:lpstr>D01F!Zona_de_imprimat</vt:lpstr>
      <vt:lpstr>'D02F '!Zona_de_imprimat</vt:lpstr>
      <vt:lpstr>D03F!Zona_de_imprimat</vt:lpstr>
      <vt:lpstr>D04F!Zona_de_imprimat</vt:lpstr>
      <vt:lpstr>'D05F '!Zona_de_imprimat</vt:lpstr>
      <vt:lpstr>'D06F  '!Zona_de_imprimat</vt:lpstr>
      <vt:lpstr>'D07F  '!Zona_de_imprimat</vt:lpstr>
      <vt:lpstr>'D08F '!Zona_de_imprimat</vt:lpstr>
      <vt:lpstr>'D09F '!Zona_de_imprimat</vt:lpstr>
      <vt:lpstr>'DG1'!Zona_de_imprimat</vt:lpstr>
      <vt:lpstr>Dotari!Zona_de_imprimat</vt:lpstr>
      <vt:lpstr>'LE-arh corp nou'!Zona_de_imprimat</vt:lpstr>
      <vt:lpstr>'LE-inst int reabilitare'!Zona_de_imprimat</vt:lpstr>
      <vt:lpstr>'LE-inst interioare corp nou'!Zona_de_imprimat</vt:lpstr>
      <vt:lpstr>'LE-reabilitare arh'!Zona_de_imprimat</vt:lpstr>
      <vt:lpstr>'LE-reabilitare structura'!Zona_de_imprimat</vt:lpstr>
      <vt:lpstr>'LE-RET EXT'!Zona_de_imprimat</vt:lpstr>
      <vt:lpstr>'LE-structura corp nou'!Zona_de_imprimat</vt:lpstr>
      <vt:lpstr>'montaj uti'!Zona_de_imprimat</vt:lpstr>
      <vt:lpstr>'PLATF. BET'!Zona_de_imprimat</vt:lpstr>
      <vt:lpstr>'SIST VERT'!Zona_de_imprimat</vt:lpstr>
      <vt:lpstr>'TJ+TS'!Zona_de_imprimat</vt:lpstr>
      <vt:lpstr>'Utilaje, echipamente cu montaj'!Zona_de_imprimat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dc:creator>
  <cp:lastModifiedBy>Constantin Pop</cp:lastModifiedBy>
  <cp:lastPrinted>2019-12-05T07:29:14Z</cp:lastPrinted>
  <dcterms:created xsi:type="dcterms:W3CDTF">2016-02-12T09:15:28Z</dcterms:created>
  <dcterms:modified xsi:type="dcterms:W3CDTF">2019-12-05T07:29:15Z</dcterms:modified>
</cp:coreProperties>
</file>